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<sst xmlns="http://schemas.openxmlformats.org/spreadsheetml/2006/main" uniqueCount="5075">
  <si>
    <t>Kategorie</t>
  </si>
  <si>
    <t>Artikelnummer</t>
  </si>
  <si>
    <t>Marke</t>
  </si>
  <si>
    <t>Artikelbezeichnung</t>
  </si>
  <si>
    <t>Alkoholgehalt / Fettanteil</t>
  </si>
  <si>
    <t>Inhalt</t>
  </si>
  <si>
    <t>Originalgebinde</t>
  </si>
  <si>
    <t>Verkaufseinheit</t>
  </si>
  <si>
    <t>Bestellmenge</t>
  </si>
  <si>
    <t>Bio-Artikel</t>
  </si>
  <si>
    <t>ALNATURA BIO</t>
  </si>
  <si>
    <t xml:space="preserve">Hafer Drink natur ungesüßt   </t>
  </si>
  <si>
    <t>1 Liter</t>
  </si>
  <si>
    <t>8 Pakete</t>
  </si>
  <si>
    <t xml:space="preserve">Soya Drink natur   </t>
  </si>
  <si>
    <t>ALPRO</t>
  </si>
  <si>
    <t>Alpro Haferdrink, This is Not Milk, 1L, 3,5%</t>
  </si>
  <si>
    <t>8 TP</t>
  </si>
  <si>
    <t>Bio Haferdrink Barista</t>
  </si>
  <si>
    <t>6 Pakete</t>
  </si>
  <si>
    <t>ALNATURA</t>
  </si>
  <si>
    <t>5-Korn Flocken</t>
  </si>
  <si>
    <t>500 Gramm</t>
  </si>
  <si>
    <t xml:space="preserve">Aceto Balsamico   </t>
  </si>
  <si>
    <t>0.5 Liter</t>
  </si>
  <si>
    <t>6 Flaschen</t>
  </si>
  <si>
    <t xml:space="preserve">Aceto Balsamico Crema   </t>
  </si>
  <si>
    <t>250 Milliliter</t>
  </si>
  <si>
    <t xml:space="preserve">Ahornsirup   </t>
  </si>
  <si>
    <t>12 Flaschen</t>
  </si>
  <si>
    <t xml:space="preserve">Amaranth gepufft   </t>
  </si>
  <si>
    <t>125 Gramm</t>
  </si>
  <si>
    <t xml:space="preserve">Apfel Chips getrocknet   </t>
  </si>
  <si>
    <t>70 Gramm</t>
  </si>
  <si>
    <t xml:space="preserve">Apfelessig   </t>
  </si>
  <si>
    <t xml:space="preserve">Apfelmark   </t>
  </si>
  <si>
    <t>360 Gramm</t>
  </si>
  <si>
    <t>6 Gläser</t>
  </si>
  <si>
    <t>8 Gläser</t>
  </si>
  <si>
    <t xml:space="preserve">Apfelmark Aprikose   </t>
  </si>
  <si>
    <t xml:space="preserve">Apfelmark Banane   </t>
  </si>
  <si>
    <t xml:space="preserve">Apfelmark Birne   </t>
  </si>
  <si>
    <t xml:space="preserve">Apfelmark Mango   </t>
  </si>
  <si>
    <t xml:space="preserve">Apfelsaft natur   </t>
  </si>
  <si>
    <t>8 Tetrapacks</t>
  </si>
  <si>
    <t xml:space="preserve">Aufstrich Zartbitter Creme   </t>
  </si>
  <si>
    <t>350 Gramm</t>
  </si>
  <si>
    <t xml:space="preserve">Bananen Chips   </t>
  </si>
  <si>
    <t>150 Gramm</t>
  </si>
  <si>
    <t xml:space="preserve">Basis Müsli   </t>
  </si>
  <si>
    <t>750 Gramm</t>
  </si>
  <si>
    <t xml:space="preserve">Basmati Reis weiss   </t>
  </si>
  <si>
    <t>1 Kilogramm</t>
  </si>
  <si>
    <t xml:space="preserve">Beeren Müsli   </t>
  </si>
  <si>
    <t>6 Beutel</t>
  </si>
  <si>
    <t>Bergkräutertee 20 Beutel</t>
  </si>
  <si>
    <t>35 Gramm</t>
  </si>
  <si>
    <t xml:space="preserve">Bulgur   </t>
  </si>
  <si>
    <t>7 Pakete</t>
  </si>
  <si>
    <t xml:space="preserve">Condimento Bianco   </t>
  </si>
  <si>
    <t xml:space="preserve">Cornflakes   </t>
  </si>
  <si>
    <t>375 Gramm</t>
  </si>
  <si>
    <t xml:space="preserve">Cornflakes ungesüßt   </t>
  </si>
  <si>
    <t>300 Gramm</t>
  </si>
  <si>
    <t xml:space="preserve">Cous Cous   </t>
  </si>
  <si>
    <t xml:space="preserve">Curry Gewürz Ketchup   </t>
  </si>
  <si>
    <t>500 Milliliter</t>
  </si>
  <si>
    <t xml:space="preserve">Datteln entsteint/getrocknet   </t>
  </si>
  <si>
    <t>200 Gramm</t>
  </si>
  <si>
    <t xml:space="preserve">Delikates Mayonnaise   </t>
  </si>
  <si>
    <t xml:space="preserve">Deutscher Blütenhonig   </t>
  </si>
  <si>
    <t xml:space="preserve">Dinkel Crunchy Müsli   </t>
  </si>
  <si>
    <t xml:space="preserve">Dinkel Flakes   </t>
  </si>
  <si>
    <t xml:space="preserve">Dinkel Flocken   </t>
  </si>
  <si>
    <t xml:space="preserve">Dinkel gepufft   </t>
  </si>
  <si>
    <t>5 Pakete</t>
  </si>
  <si>
    <t xml:space="preserve">Dinkel Hafer Crunchy Müsli   </t>
  </si>
  <si>
    <t xml:space="preserve">Dinkel Locken   </t>
  </si>
  <si>
    <t xml:space="preserve">Dinkel Sesam Kräcker   </t>
  </si>
  <si>
    <t>100 Gramm</t>
  </si>
  <si>
    <t>12 Pakete</t>
  </si>
  <si>
    <t xml:space="preserve">Dinkel Spaghettini   </t>
  </si>
  <si>
    <t>10 Pakete</t>
  </si>
  <si>
    <t xml:space="preserve">Dinkel Spirelli   </t>
  </si>
  <si>
    <t xml:space="preserve">Dinkel Zwieback   </t>
  </si>
  <si>
    <t>Dinkelmehl T630</t>
  </si>
  <si>
    <t xml:space="preserve">Dinkelvollkorn Spaghetti   </t>
  </si>
  <si>
    <t xml:space="preserve">Dinkelvollkornmehl   </t>
  </si>
  <si>
    <t xml:space="preserve">Dinkelwaffeln   </t>
  </si>
  <si>
    <t xml:space="preserve">Erdnusscreme mit Stücken   </t>
  </si>
  <si>
    <t>250 Gramm</t>
  </si>
  <si>
    <t xml:space="preserve">Erdnussmus fein   </t>
  </si>
  <si>
    <t xml:space="preserve">Falafel   </t>
  </si>
  <si>
    <t>170 Gramm</t>
  </si>
  <si>
    <t xml:space="preserve">Fruchtaufstich Erdbeere   </t>
  </si>
  <si>
    <t>420 Gramm</t>
  </si>
  <si>
    <t xml:space="preserve">Fruchtaufstich Himbeer   </t>
  </si>
  <si>
    <t xml:space="preserve">Fruchtaufstich Marille   </t>
  </si>
  <si>
    <t xml:space="preserve">Fruchtaufstich Sauerkirsch   </t>
  </si>
  <si>
    <t xml:space="preserve">Früchte Müsli   </t>
  </si>
  <si>
    <t xml:space="preserve">Frühstücksbrei Basis   </t>
  </si>
  <si>
    <t xml:space="preserve">Frühstücksbrei Früchte   </t>
  </si>
  <si>
    <t xml:space="preserve">Gemuesebouillon hefefrei NF   </t>
  </si>
  <si>
    <t>290 Gramm</t>
  </si>
  <si>
    <t xml:space="preserve">Gemueseravioli   </t>
  </si>
  <si>
    <t>400 Gramm</t>
  </si>
  <si>
    <t>Grüner Tee Jasmin, 20 Beutel</t>
  </si>
  <si>
    <t>30 Gramm</t>
  </si>
  <si>
    <t>Guten Abend Tee 20 Beutel</t>
  </si>
  <si>
    <t xml:space="preserve">Hafer Crunchy Müsli   </t>
  </si>
  <si>
    <t xml:space="preserve">Hafer Crunchy Schoko Müsli   </t>
  </si>
  <si>
    <t xml:space="preserve">Hafer Crunchy Waldbeere Müsli   </t>
  </si>
  <si>
    <t xml:space="preserve">Haferflocken   </t>
  </si>
  <si>
    <t xml:space="preserve">Haferflocken Feinblatt   </t>
  </si>
  <si>
    <t xml:space="preserve">Hirseflocken   </t>
  </si>
  <si>
    <t xml:space="preserve">Hummus Feige-Dattel   </t>
  </si>
  <si>
    <t>180 Gramm</t>
  </si>
  <si>
    <t xml:space="preserve">Hummus natur   </t>
  </si>
  <si>
    <t>Kamillentee 20 Beutel</t>
  </si>
  <si>
    <t xml:space="preserve">Kichererbsen   </t>
  </si>
  <si>
    <t>12 Gläser</t>
  </si>
  <si>
    <t xml:space="preserve">Kichererbsen-Kokos Eintropf   </t>
  </si>
  <si>
    <t>6 Dosen</t>
  </si>
  <si>
    <t xml:space="preserve">Kidney Bohnen   </t>
  </si>
  <si>
    <t>330 Gramm</t>
  </si>
  <si>
    <t xml:space="preserve">Kinder Früchte Müsli   </t>
  </si>
  <si>
    <t xml:space="preserve">Kokos Chips   </t>
  </si>
  <si>
    <t xml:space="preserve">Kokos Chips getrocknet   </t>
  </si>
  <si>
    <t xml:space="preserve">Kokosmilch   </t>
  </si>
  <si>
    <t>400 Milliliter</t>
  </si>
  <si>
    <t xml:space="preserve">Kokosöl nativ   </t>
  </si>
  <si>
    <t>220 Milliliter</t>
  </si>
  <si>
    <t>Kräutertee 20 Beutel</t>
  </si>
  <si>
    <t xml:space="preserve">Leinoel   </t>
  </si>
  <si>
    <t xml:space="preserve">Leinsamen ganz   </t>
  </si>
  <si>
    <t xml:space="preserve">Linseneintopf   </t>
  </si>
  <si>
    <t xml:space="preserve">Mais   </t>
  </si>
  <si>
    <t>340 Gramm</t>
  </si>
  <si>
    <t xml:space="preserve">Maismehl   </t>
  </si>
  <si>
    <t xml:space="preserve">Maiswaffeln   </t>
  </si>
  <si>
    <t>110 Gramm</t>
  </si>
  <si>
    <t xml:space="preserve">Maiswaffeln natur   </t>
  </si>
  <si>
    <t xml:space="preserve">Mandelmus weiß   </t>
  </si>
  <si>
    <t xml:space="preserve">Mango Stücke getrocknet   </t>
  </si>
  <si>
    <t xml:space="preserve">Milchreis   </t>
  </si>
  <si>
    <t xml:space="preserve">Milder Apfelsaft   </t>
  </si>
  <si>
    <t>6 Tetrapacks</t>
  </si>
  <si>
    <t xml:space="preserve">Müsli Riegel Schoko   </t>
  </si>
  <si>
    <t>9 Pakete</t>
  </si>
  <si>
    <t xml:space="preserve">Müslie Reigel Ahorn Dattel   </t>
  </si>
  <si>
    <t xml:space="preserve">Naturreis Langkorn   </t>
  </si>
  <si>
    <t xml:space="preserve">Nuss Müsli   </t>
  </si>
  <si>
    <t xml:space="preserve">Nuss Nougat Creme   </t>
  </si>
  <si>
    <t xml:space="preserve">Olivenoel   </t>
  </si>
  <si>
    <t xml:space="preserve">Orangensaft   </t>
  </si>
  <si>
    <t xml:space="preserve">Paprika Pastete   </t>
  </si>
  <si>
    <t>12 Dosen</t>
  </si>
  <si>
    <t xml:space="preserve">Passata   </t>
  </si>
  <si>
    <t>690 Gramm</t>
  </si>
  <si>
    <t>Pfefferminztee, 20 Beutel</t>
  </si>
  <si>
    <t xml:space="preserve">Popcorn Mais   </t>
  </si>
  <si>
    <t xml:space="preserve">Quinoa gepufft   </t>
  </si>
  <si>
    <t xml:space="preserve">Rapsöl nativ   </t>
  </si>
  <si>
    <t xml:space="preserve">Reis Drink natur   </t>
  </si>
  <si>
    <t xml:space="preserve">Reiswaffeln mit Salz   </t>
  </si>
  <si>
    <t xml:space="preserve">Reiswaffeln mit VM-Schokolade   </t>
  </si>
  <si>
    <t xml:space="preserve">Reiswaffeln ohne Salz   </t>
  </si>
  <si>
    <t xml:space="preserve">Risotto Reis   </t>
  </si>
  <si>
    <t xml:space="preserve">Roggenvollkornmehl   </t>
  </si>
  <si>
    <t xml:space="preserve">Rohrzucker   </t>
  </si>
  <si>
    <t xml:space="preserve">Schoko Müsli   </t>
  </si>
  <si>
    <t xml:space="preserve">Schoko-Nuss Aufstrich   </t>
  </si>
  <si>
    <t xml:space="preserve">Sesam   </t>
  </si>
  <si>
    <t xml:space="preserve">Soja Sauce Shoyu   </t>
  </si>
  <si>
    <t xml:space="preserve">Soja Schnetzel fein   </t>
  </si>
  <si>
    <t>7 Beutel</t>
  </si>
  <si>
    <t xml:space="preserve">Spaghetti semola   </t>
  </si>
  <si>
    <t>20 Pakete</t>
  </si>
  <si>
    <t xml:space="preserve">Spirelli semola   </t>
  </si>
  <si>
    <t xml:space="preserve">Streichcreme Curry/Mango/Papaya   </t>
  </si>
  <si>
    <t xml:space="preserve">Streichcreme Paprika / Chilli   </t>
  </si>
  <si>
    <t xml:space="preserve">Streichcreme Rote Bete/Meerrettich   </t>
  </si>
  <si>
    <t xml:space="preserve">Streichcreme Toscana   </t>
  </si>
  <si>
    <t xml:space="preserve">Sugo Basilico Pesto   </t>
  </si>
  <si>
    <t>325 Milliliter</t>
  </si>
  <si>
    <t xml:space="preserve">Sugo Toscano Pesto   </t>
  </si>
  <si>
    <t xml:space="preserve">Tahin Sesammus   </t>
  </si>
  <si>
    <t xml:space="preserve">Tomate-Basilikum Aufstrich vegan   </t>
  </si>
  <si>
    <t xml:space="preserve">Tomatenmark   </t>
  </si>
  <si>
    <t>12 Tuben</t>
  </si>
  <si>
    <t xml:space="preserve">Tomatensauce klassisch   </t>
  </si>
  <si>
    <t>350 Milliliter</t>
  </si>
  <si>
    <t xml:space="preserve">Tomatensauce Kraeuter   </t>
  </si>
  <si>
    <t xml:space="preserve">Tomatenstücke mit Kräuter   </t>
  </si>
  <si>
    <t xml:space="preserve">Tomatenstücke natur   </t>
  </si>
  <si>
    <t xml:space="preserve">Traubensaft natur   </t>
  </si>
  <si>
    <t xml:space="preserve">Vielblütenhonig   </t>
  </si>
  <si>
    <t xml:space="preserve">Vollkorn-Speghetti   </t>
  </si>
  <si>
    <t xml:space="preserve">Vollrohrzucker   </t>
  </si>
  <si>
    <t xml:space="preserve">Waldhonig   </t>
  </si>
  <si>
    <t xml:space="preserve">Walnusskerne   </t>
  </si>
  <si>
    <t>Weizenmehl T1050</t>
  </si>
  <si>
    <t>Weizenmehl T405</t>
  </si>
  <si>
    <t>Weizenmehl T550</t>
  </si>
  <si>
    <t xml:space="preserve">Weizenvollkornmehl   </t>
  </si>
  <si>
    <t xml:space="preserve">Zitronensaft   </t>
  </si>
  <si>
    <t>200 Milliliter</t>
  </si>
  <si>
    <t>BFF BORCHERS</t>
  </si>
  <si>
    <t>Bio Chia Samen Verkauf nur im Karton 7 x 250gr</t>
  </si>
  <si>
    <t>EDEKA</t>
  </si>
  <si>
    <t xml:space="preserve">Bio Rote Bete Saft   </t>
  </si>
  <si>
    <t>Brot</t>
  </si>
  <si>
    <t>Knäckebrot Roggen &amp; Dinkel</t>
  </si>
  <si>
    <t>12 PA</t>
  </si>
  <si>
    <t>Knäckebrot Sesam</t>
  </si>
  <si>
    <t>BRANDT</t>
  </si>
  <si>
    <t xml:space="preserve">Markenzwieback   </t>
  </si>
  <si>
    <t>225 Gramm</t>
  </si>
  <si>
    <t>1 Paket</t>
  </si>
  <si>
    <t xml:space="preserve">Vollkorn-Zwieback   </t>
  </si>
  <si>
    <t xml:space="preserve">Zwieback   </t>
  </si>
  <si>
    <t>450 Gramm</t>
  </si>
  <si>
    <t>Finn Crisp Original</t>
  </si>
  <si>
    <t>0.2 Kilogramm</t>
  </si>
  <si>
    <t>18 PA</t>
  </si>
  <si>
    <t>GUT&amp;GUENSTIG</t>
  </si>
  <si>
    <t xml:space="preserve">Knaeckebrot Sesam   </t>
  </si>
  <si>
    <t>24 Pakete</t>
  </si>
  <si>
    <t xml:space="preserve">Knaeckebrot Vollkorn   </t>
  </si>
  <si>
    <t>LEICHT&amp;CROSS</t>
  </si>
  <si>
    <t xml:space="preserve">Leicht&amp;Cross Vital   </t>
  </si>
  <si>
    <t xml:space="preserve">Roggenbrot   </t>
  </si>
  <si>
    <t>16 Pakete</t>
  </si>
  <si>
    <t xml:space="preserve">Vollkorn   </t>
  </si>
  <si>
    <t xml:space="preserve">Weizen Knaeckebrot   </t>
  </si>
  <si>
    <t>MESTEMACHER</t>
  </si>
  <si>
    <t xml:space="preserve">Pumpernickel in der Dose  </t>
  </si>
  <si>
    <t>REDWINE / FR</t>
  </si>
  <si>
    <t>Château de Nalys, Saintes Pierres de Nalys, Châteauneuf-du-Pape, Rhône, AOC, trocken, rot</t>
  </si>
  <si>
    <t>0.75 Liter</t>
  </si>
  <si>
    <t>1 FL</t>
  </si>
  <si>
    <t>WASA</t>
  </si>
  <si>
    <t xml:space="preserve">Crisp   </t>
  </si>
  <si>
    <t>18 Pakete</t>
  </si>
  <si>
    <t xml:space="preserve">Delicate Crackers Meersalz   </t>
  </si>
  <si>
    <t xml:space="preserve">Delicate Crisp Rosmarin&amp;Meersalz   </t>
  </si>
  <si>
    <t>190 Gramm</t>
  </si>
  <si>
    <t xml:space="preserve">Roggen duenn   </t>
  </si>
  <si>
    <t>205 Gramm</t>
  </si>
  <si>
    <t xml:space="preserve">Rustikal   </t>
  </si>
  <si>
    <t>275 Gramm</t>
  </si>
  <si>
    <t xml:space="preserve">Sesam Weizen   </t>
  </si>
  <si>
    <t>260 Gramm</t>
  </si>
  <si>
    <t>Kuchen</t>
  </si>
  <si>
    <t>BAHLSEN</t>
  </si>
  <si>
    <t xml:space="preserve">Comtess Marmorkuchen   </t>
  </si>
  <si>
    <t>8 Stücke</t>
  </si>
  <si>
    <t xml:space="preserve">Comtess Schokokuchen   </t>
  </si>
  <si>
    <t xml:space="preserve">Comtess Zitronenkuchen   </t>
  </si>
  <si>
    <t>Cornflakes &amp; Müsli</t>
  </si>
  <si>
    <t>•</t>
  </si>
  <si>
    <t xml:space="preserve">Bio Weizenkleie   </t>
  </si>
  <si>
    <t>8 Beutel</t>
  </si>
  <si>
    <t>Bircher Müsli, 500gr</t>
  </si>
  <si>
    <t>0.5 Kilogramm</t>
  </si>
  <si>
    <t>8 PA</t>
  </si>
  <si>
    <t xml:space="preserve">Riegel Cosos Zartbitterschokolade   </t>
  </si>
  <si>
    <t>40 Gramm</t>
  </si>
  <si>
    <t>CORNY</t>
  </si>
  <si>
    <t>Muesli Riegel Erdbeer/Joghurt 6er</t>
  </si>
  <si>
    <t>Muesli Riegel Schoko 6er</t>
  </si>
  <si>
    <t>Muesli Riegel Schoko Free 6er</t>
  </si>
  <si>
    <t>120 Gramm</t>
  </si>
  <si>
    <t>Muesli Riegel Schoko-Banane 6er</t>
  </si>
  <si>
    <t>Pocket Milch 4er</t>
  </si>
  <si>
    <t>DR.OETKER</t>
  </si>
  <si>
    <t xml:space="preserve">Vitalis Fruechte Muesli   </t>
  </si>
  <si>
    <t xml:space="preserve">Vitalis Joghurt Muesli   </t>
  </si>
  <si>
    <t>600 Gramm</t>
  </si>
  <si>
    <t xml:space="preserve">Vitalis Knusper Honeys Muesli   </t>
  </si>
  <si>
    <t xml:space="preserve">Vitalis Knusper Schokomuesli   </t>
  </si>
  <si>
    <t xml:space="preserve">Vitalis Knusperflakes   </t>
  </si>
  <si>
    <t xml:space="preserve">Vitalis Knuspermuesli Banane   </t>
  </si>
  <si>
    <t xml:space="preserve">Vitalis Knuspermüsli klassisch   </t>
  </si>
  <si>
    <t xml:space="preserve">Vitalis Schoko Muesli   </t>
  </si>
  <si>
    <t xml:space="preserve">Vitalis weniger süß, Knusper pur Müsli   </t>
  </si>
  <si>
    <t>1500 Gramm</t>
  </si>
  <si>
    <t>4 Pakete</t>
  </si>
  <si>
    <t xml:space="preserve">Vitalis weniger süß, Knusper Schoko Müsli  </t>
  </si>
  <si>
    <t xml:space="preserve">Bio Reiswaffeln mit Salz   </t>
  </si>
  <si>
    <t xml:space="preserve">Bio Reiswaffeln ungesalzen   </t>
  </si>
  <si>
    <t xml:space="preserve">Knusper Muesli Honig Nuss   </t>
  </si>
  <si>
    <t xml:space="preserve">Knusper Muesli Multi Frucht   </t>
  </si>
  <si>
    <t xml:space="preserve">Knusper Muesli Triple Choc   </t>
  </si>
  <si>
    <t>Früchte Muesli 32% Früchte</t>
  </si>
  <si>
    <t>1000 Gramm</t>
  </si>
  <si>
    <t>5 Beutel</t>
  </si>
  <si>
    <t>Fruechtemuesli 41% Fruechte</t>
  </si>
  <si>
    <t xml:space="preserve">Haferflocken extra zart   </t>
  </si>
  <si>
    <t>15 Pakete</t>
  </si>
  <si>
    <t xml:space="preserve">Haferflocken Vollkorn kernig   </t>
  </si>
  <si>
    <t xml:space="preserve">Honey Wheat   </t>
  </si>
  <si>
    <t xml:space="preserve">Nougat Bits   </t>
  </si>
  <si>
    <t xml:space="preserve">Schokomuesli   </t>
  </si>
  <si>
    <t xml:space="preserve">Traube-Nuss-Muesli   </t>
  </si>
  <si>
    <t>KOELLN</t>
  </si>
  <si>
    <t xml:space="preserve">Bio Schmelzflocken   </t>
  </si>
  <si>
    <t xml:space="preserve">Bircher Muesli Frucht   </t>
  </si>
  <si>
    <t>Bircher Müsli Frucht, 500gr</t>
  </si>
  <si>
    <t>7 PA</t>
  </si>
  <si>
    <t xml:space="preserve">Haferflocken Echte Kernige   </t>
  </si>
  <si>
    <t xml:space="preserve">Haferkleie Flocken   </t>
  </si>
  <si>
    <t xml:space="preserve">Instant Flocken   </t>
  </si>
  <si>
    <t xml:space="preserve">Knusper Muesli Schoko Krokant   </t>
  </si>
  <si>
    <t xml:space="preserve">Knusper Muesli Schoko&amp;Keks Kakao   </t>
  </si>
  <si>
    <t xml:space="preserve">Knusper Muesli Schoko&amp;Keks Original   </t>
  </si>
  <si>
    <t xml:space="preserve">Knusprige Haferfleks   </t>
  </si>
  <si>
    <t xml:space="preserve">Müsli Nuss &amp; Krokant   </t>
  </si>
  <si>
    <t xml:space="preserve">Schoko Muesli   </t>
  </si>
  <si>
    <t xml:space="preserve">Schoko Muesli weniger Zucker   </t>
  </si>
  <si>
    <t>NESTLE</t>
  </si>
  <si>
    <t xml:space="preserve">Cini Minis   </t>
  </si>
  <si>
    <t>14 Pakete</t>
  </si>
  <si>
    <t>Fitness Frühstückscerealien mit 58% Vollkorn</t>
  </si>
  <si>
    <t>0.38 Kilogramm</t>
  </si>
  <si>
    <t xml:space="preserve">Nesquik Choko Cerealien   </t>
  </si>
  <si>
    <t>Essig</t>
  </si>
  <si>
    <t>Weinbranntessig hell 10%</t>
  </si>
  <si>
    <t>10 Liter</t>
  </si>
  <si>
    <t>1 Kanne</t>
  </si>
  <si>
    <t xml:space="preserve">Balsamico Bianco Condimento   </t>
  </si>
  <si>
    <t>2 Liter</t>
  </si>
  <si>
    <t>1 Flasche</t>
  </si>
  <si>
    <t>Tafelessig hell 5%</t>
  </si>
  <si>
    <t>FELDMANN</t>
  </si>
  <si>
    <t xml:space="preserve">Weinessig   </t>
  </si>
  <si>
    <t>750 Milliliter</t>
  </si>
  <si>
    <t>10 Flaschen</t>
  </si>
  <si>
    <t xml:space="preserve">Aceto Balsamico Di Modena IGP   </t>
  </si>
  <si>
    <t xml:space="preserve">Branntweinessig   </t>
  </si>
  <si>
    <t>Tafelessig 5% PET</t>
  </si>
  <si>
    <t>HENGSTENBERG</t>
  </si>
  <si>
    <t>Aceto Balsamico Di Modena 6% I.G.P.</t>
  </si>
  <si>
    <t>KUEHNE</t>
  </si>
  <si>
    <t xml:space="preserve">Essig Weisswein   </t>
  </si>
  <si>
    <t xml:space="preserve">Salatfix Balsamico Essig   </t>
  </si>
  <si>
    <t>7 Flaschen</t>
  </si>
  <si>
    <t xml:space="preserve">Salatkraeuter wuerzig   </t>
  </si>
  <si>
    <t>Surol Essig 7 Kräuter</t>
  </si>
  <si>
    <t xml:space="preserve">Tafelessig   </t>
  </si>
  <si>
    <t xml:space="preserve">Aceto Balsamico di Modena I.G.P. dunkel   </t>
  </si>
  <si>
    <t>Rotweinessig, Aceto di Vino Rosso 2L</t>
  </si>
  <si>
    <t>6 Kannen</t>
  </si>
  <si>
    <t>SURIG</t>
  </si>
  <si>
    <t xml:space="preserve">Essigessenz   </t>
  </si>
  <si>
    <t>Öl</t>
  </si>
  <si>
    <t>Ming Chu Erdnussöl intensiv nussig 250ml</t>
  </si>
  <si>
    <t xml:space="preserve">Bio Bratöl   </t>
  </si>
  <si>
    <t>BERTOLLI</t>
  </si>
  <si>
    <t>Cucina Classico Olivenöl</t>
  </si>
  <si>
    <t>6 FL</t>
  </si>
  <si>
    <t xml:space="preserve">Olivenoel Extra Vergine   </t>
  </si>
  <si>
    <t>Bio Kokos-Öl Verkauf nur im Karton 6 x 450ml</t>
  </si>
  <si>
    <t>BISKIN</t>
  </si>
  <si>
    <t xml:space="preserve">Spezial Speiseoel   </t>
  </si>
  <si>
    <t xml:space="preserve">Bio Sonnenblumenoel Nativ   </t>
  </si>
  <si>
    <t>Olivenöl Italien Nativ Extra</t>
  </si>
  <si>
    <t xml:space="preserve">Balsamico Condimento Bianco   </t>
  </si>
  <si>
    <t xml:space="preserve">Disteloel   </t>
  </si>
  <si>
    <t xml:space="preserve">Frittier- und Bratoel   </t>
  </si>
  <si>
    <t>8 Flaschen</t>
  </si>
  <si>
    <t xml:space="preserve">Olivenoel nativ Extra   </t>
  </si>
  <si>
    <t>0.75 Milliliter</t>
  </si>
  <si>
    <t xml:space="preserve">Pflanzenoel aus Raps   </t>
  </si>
  <si>
    <t>15 Flaschen</t>
  </si>
  <si>
    <t xml:space="preserve">Sonnenblumenoel neutral   </t>
  </si>
  <si>
    <t xml:space="preserve">Balsamico Bianco   </t>
  </si>
  <si>
    <t>KUNELLA</t>
  </si>
  <si>
    <t xml:space="preserve">Leinoel Lausitzer   </t>
  </si>
  <si>
    <t xml:space="preserve">Walnussöl   </t>
  </si>
  <si>
    <t>100 Milliliter</t>
  </si>
  <si>
    <t>LIVIO</t>
  </si>
  <si>
    <t xml:space="preserve">Delikatess Pflanzenoel   </t>
  </si>
  <si>
    <t>1 Dose</t>
  </si>
  <si>
    <t xml:space="preserve">Pflanzenoel Vitamin   </t>
  </si>
  <si>
    <t>5 Liter</t>
  </si>
  <si>
    <t>Natives Olivenöl Extra Vergine</t>
  </si>
  <si>
    <t>4 Kannen</t>
  </si>
  <si>
    <t>MAZOLA</t>
  </si>
  <si>
    <t xml:space="preserve">Keimoel   </t>
  </si>
  <si>
    <t xml:space="preserve">Keimoel Grossflasche   </t>
  </si>
  <si>
    <t xml:space="preserve">Olivenoel Extra Virgine   </t>
  </si>
  <si>
    <t>11 Flaschen</t>
  </si>
  <si>
    <t>THOMY</t>
  </si>
  <si>
    <t xml:space="preserve">Sonnenblumenoel   </t>
  </si>
  <si>
    <t>VITA</t>
  </si>
  <si>
    <t xml:space="preserve">Kuerbiskernoel   </t>
  </si>
  <si>
    <t>Knödel &amp; Püree</t>
  </si>
  <si>
    <t>GROCHOLL</t>
  </si>
  <si>
    <t xml:space="preserve">Bratkartoffeln mit Zwiebeln   </t>
  </si>
  <si>
    <t xml:space="preserve">Bratkartoffeln mit Zwiebeln+Schinken   </t>
  </si>
  <si>
    <t>12 Kartoffelknoedel Teig Halb&amp;Halb</t>
  </si>
  <si>
    <t>309 Gramm</t>
  </si>
  <si>
    <t>6 Kartoffelknoedel Halb&amp;Halb im KB</t>
  </si>
  <si>
    <t>6 Semmelknoedel im Kochbeutel</t>
  </si>
  <si>
    <t>Kartoffelpuerree 18er</t>
  </si>
  <si>
    <t>510 Gramm</t>
  </si>
  <si>
    <t>MAGGI</t>
  </si>
  <si>
    <t>6 Kartoffelknoedel im Kochbeutel</t>
  </si>
  <si>
    <t>6 Semmellknoedel im Kochbeutel</t>
  </si>
  <si>
    <t>Suppen/Menüs/Eintöpfe</t>
  </si>
  <si>
    <t xml:space="preserve">Miracoli Spaghetti Tomate Klassiker 3 Portionen   </t>
  </si>
  <si>
    <t>376.2 Gramm</t>
  </si>
  <si>
    <t xml:space="preserve">Bihuhnsuppe Indonesia   </t>
  </si>
  <si>
    <t>425 Milliliter</t>
  </si>
  <si>
    <t>BASSERMANN</t>
  </si>
  <si>
    <t xml:space="preserve">Huehner-Bouillon   </t>
  </si>
  <si>
    <t>BUSS</t>
  </si>
  <si>
    <t xml:space="preserve">Cevapcici mit Balkangemuese und Reis   </t>
  </si>
  <si>
    <t>12 Schachteln</t>
  </si>
  <si>
    <t xml:space="preserve">Jaegertopf   </t>
  </si>
  <si>
    <t xml:space="preserve">Mexiko Hacksteak   </t>
  </si>
  <si>
    <t xml:space="preserve">Putenmedaillons mit Kartoffeln   </t>
  </si>
  <si>
    <t>DITTMANN</t>
  </si>
  <si>
    <t xml:space="preserve">Teufli rot mit Frischkaese   </t>
  </si>
  <si>
    <t>370 Milliliter</t>
  </si>
  <si>
    <t>ERASCO</t>
  </si>
  <si>
    <t>2 Kohlrouladen</t>
  </si>
  <si>
    <t>800 Gramm</t>
  </si>
  <si>
    <t>6 Koenigsberger Klopse in Kapernsauce</t>
  </si>
  <si>
    <t xml:space="preserve">Chili con Carne   </t>
  </si>
  <si>
    <t xml:space="preserve">Erbseneintopf   </t>
  </si>
  <si>
    <t xml:space="preserve">Erbseneintopf Hubertus   </t>
  </si>
  <si>
    <t>800 Milliliter</t>
  </si>
  <si>
    <t xml:space="preserve">Erbsentopf mit Wurst   </t>
  </si>
  <si>
    <t xml:space="preserve">Feuertopf Texas   </t>
  </si>
  <si>
    <t xml:space="preserve">Frischgemuese Topf   </t>
  </si>
  <si>
    <t xml:space="preserve">Grüne Bohnentopf   </t>
  </si>
  <si>
    <t>Heisse Tasse Huehner-Suppe 3er</t>
  </si>
  <si>
    <t>Heisse Tasse Lauchcremesuppe 3er</t>
  </si>
  <si>
    <t xml:space="preserve">Huehnchen Nudeltopf   </t>
  </si>
  <si>
    <t xml:space="preserve">Huehner Reistopf   </t>
  </si>
  <si>
    <t xml:space="preserve">Huehneruppe mit Nudeln   </t>
  </si>
  <si>
    <t>390 Milliliter</t>
  </si>
  <si>
    <t xml:space="preserve">Hühner Reistopf   </t>
  </si>
  <si>
    <t xml:space="preserve">Kartoffelsuppe mit Wurst   </t>
  </si>
  <si>
    <t xml:space="preserve">Kartoffeltopf mit Wurst   </t>
  </si>
  <si>
    <t xml:space="preserve">Koenigsberger Klopse   </t>
  </si>
  <si>
    <t>480 Gramm</t>
  </si>
  <si>
    <t>7 Schachteln</t>
  </si>
  <si>
    <t xml:space="preserve">Leberknoedelsuppe   </t>
  </si>
  <si>
    <t>395 Gramm</t>
  </si>
  <si>
    <t xml:space="preserve">Linsentopf mit Wurst   </t>
  </si>
  <si>
    <t xml:space="preserve">Menue Kohlroulade mit Pueree   </t>
  </si>
  <si>
    <t xml:space="preserve">Pichelsteiner Topf   </t>
  </si>
  <si>
    <t xml:space="preserve">Reistopf mit Fleischkloesschen   </t>
  </si>
  <si>
    <t xml:space="preserve">Rinderroulade   </t>
  </si>
  <si>
    <t>460 Gramm</t>
  </si>
  <si>
    <t xml:space="preserve">Rindfleisch Nudeltopf   </t>
  </si>
  <si>
    <t xml:space="preserve">Schottischer Graupentopf   </t>
  </si>
  <si>
    <t xml:space="preserve">Serbische Bohnensuppe   </t>
  </si>
  <si>
    <t xml:space="preserve">Serbischer Bohnentopf   </t>
  </si>
  <si>
    <t xml:space="preserve">Spargelcremesuppe   </t>
  </si>
  <si>
    <t xml:space="preserve">Spirli Nudeltopf   </t>
  </si>
  <si>
    <t xml:space="preserve">Tomatencremesuppe   </t>
  </si>
  <si>
    <t xml:space="preserve">Weisser Bohnentopf   </t>
  </si>
  <si>
    <t xml:space="preserve">Westfaelischer Linseneintopf   </t>
  </si>
  <si>
    <t xml:space="preserve">Bihuhnsuppe   </t>
  </si>
  <si>
    <t xml:space="preserve">Bohnentopf   </t>
  </si>
  <si>
    <t xml:space="preserve">Erbseneintopf mit Kasseler u. Rauchspeck   </t>
  </si>
  <si>
    <t xml:space="preserve">Feuertopf   </t>
  </si>
  <si>
    <t xml:space="preserve">Gulaschsuppe   </t>
  </si>
  <si>
    <t xml:space="preserve">Hühner-Nudeltopf   </t>
  </si>
  <si>
    <t xml:space="preserve">Kartoffel-Suppe   </t>
  </si>
  <si>
    <t xml:space="preserve">Linsentopf   </t>
  </si>
  <si>
    <t xml:space="preserve">Ravioli Bolognese   </t>
  </si>
  <si>
    <t xml:space="preserve">Ravioli in Tomatensauce   </t>
  </si>
  <si>
    <t xml:space="preserve">Spaghetti in Tomatensauce   </t>
  </si>
  <si>
    <t>Spaghettigericht 2-3Teller</t>
  </si>
  <si>
    <t xml:space="preserve">Thai-Suppe   </t>
  </si>
  <si>
    <t>HEINES</t>
  </si>
  <si>
    <t xml:space="preserve">Ragout Fin   </t>
  </si>
  <si>
    <t>MEICA</t>
  </si>
  <si>
    <t xml:space="preserve">Echte Mockturtle   </t>
  </si>
  <si>
    <t xml:space="preserve">Ragout Fin mit Champignons   </t>
  </si>
  <si>
    <t>MENZI</t>
  </si>
  <si>
    <t xml:space="preserve">Eierstich   </t>
  </si>
  <si>
    <t>18 Dosen</t>
  </si>
  <si>
    <t xml:space="preserve">Fleischkloesschen   </t>
  </si>
  <si>
    <t xml:space="preserve">Markkloesschen   </t>
  </si>
  <si>
    <t>SONNEN</t>
  </si>
  <si>
    <t xml:space="preserve">Erbsensuppenterrine   </t>
  </si>
  <si>
    <t>850 Milliliter</t>
  </si>
  <si>
    <t xml:space="preserve">Fruehlingstopf   </t>
  </si>
  <si>
    <t xml:space="preserve">Grüne Bohnen Topf   </t>
  </si>
  <si>
    <t xml:space="preserve">Hochzeitssuppe   </t>
  </si>
  <si>
    <t xml:space="preserve">Huehnersuppe   </t>
  </si>
  <si>
    <t xml:space="preserve">Menue Hacksteak   </t>
  </si>
  <si>
    <t xml:space="preserve">Menue Huehnerfrikassee   </t>
  </si>
  <si>
    <t>6 Schachteln</t>
  </si>
  <si>
    <t xml:space="preserve">Moehrentopf   </t>
  </si>
  <si>
    <t xml:space="preserve">Rindfleisch Suppentopf   </t>
  </si>
  <si>
    <t>850 Gramm</t>
  </si>
  <si>
    <t xml:space="preserve">Wirsingtopf   </t>
  </si>
  <si>
    <t xml:space="preserve">Zwiebelsuppe   </t>
  </si>
  <si>
    <t>Feingebäck</t>
  </si>
  <si>
    <t xml:space="preserve">ABC Russisches Brot   </t>
  </si>
  <si>
    <t xml:space="preserve">Blaetter-Brezel   </t>
  </si>
  <si>
    <t xml:space="preserve">Butter-Blaetter   </t>
  </si>
  <si>
    <t xml:space="preserve">Chokini-Gebaeck   </t>
  </si>
  <si>
    <t xml:space="preserve">Comtess Choco Chips   </t>
  </si>
  <si>
    <t>Gebäckmischung Hermann 2x227g</t>
  </si>
  <si>
    <t>554 Gramm</t>
  </si>
  <si>
    <t xml:space="preserve">Kipferl   </t>
  </si>
  <si>
    <t xml:space="preserve">Leibniz Butterkeks   </t>
  </si>
  <si>
    <t xml:space="preserve">Leibniz Diaet   </t>
  </si>
  <si>
    <t>20 Beutel</t>
  </si>
  <si>
    <t>1 Beutel</t>
  </si>
  <si>
    <t xml:space="preserve">Leibniz Kakaokeks   </t>
  </si>
  <si>
    <t xml:space="preserve">Leibniz Minis   </t>
  </si>
  <si>
    <t xml:space="preserve">Leibniz Minis Black´n White   </t>
  </si>
  <si>
    <t xml:space="preserve">Leibniz Minis Schoko   </t>
  </si>
  <si>
    <t xml:space="preserve">Leibniz Vollkorn   </t>
  </si>
  <si>
    <t xml:space="preserve">Leibniz Zoo   </t>
  </si>
  <si>
    <t xml:space="preserve">Messino Orange Zartbitter   </t>
  </si>
  <si>
    <t xml:space="preserve">Ohne Gleichen Edelherb   </t>
  </si>
  <si>
    <t xml:space="preserve">Ohne Gleichen Vollmilch   </t>
  </si>
  <si>
    <t>Perpetum Vollmilch</t>
  </si>
  <si>
    <t>97 Gramm</t>
  </si>
  <si>
    <t xml:space="preserve">Perretum Edelbitter   </t>
  </si>
  <si>
    <t>PICK UP! Choco 5er</t>
  </si>
  <si>
    <t>PICK UP! Choco&amp;Milch 5er</t>
  </si>
  <si>
    <t xml:space="preserve">Rekord Gebäck&amp;Waffelmischung   </t>
  </si>
  <si>
    <t>12 Beutel</t>
  </si>
  <si>
    <t xml:space="preserve">Schoko-Leibniz Edelherb   </t>
  </si>
  <si>
    <t xml:space="preserve">Schoko-Leibniz Vollmilch   </t>
  </si>
  <si>
    <t>26 Pakete</t>
  </si>
  <si>
    <t xml:space="preserve">Waffeletten Vollmilch   </t>
  </si>
  <si>
    <t>BORGGREVE</t>
  </si>
  <si>
    <t xml:space="preserve">Kaffeekraenze   </t>
  </si>
  <si>
    <t xml:space="preserve">Hobbits kernig   </t>
  </si>
  <si>
    <t>COPPENRATH</t>
  </si>
  <si>
    <t xml:space="preserve">Butter Cookies   </t>
  </si>
  <si>
    <t xml:space="preserve">Buttercookies ohne Zucker   </t>
  </si>
  <si>
    <t xml:space="preserve">Eierplaetzchen   </t>
  </si>
  <si>
    <t>DE BEUKELAER</t>
  </si>
  <si>
    <t xml:space="preserve">Mikado Zartherb   </t>
  </si>
  <si>
    <t>75 Gramm</t>
  </si>
  <si>
    <t>Prinzenrolle  Minis 5er</t>
  </si>
  <si>
    <t>187.5 Gramm</t>
  </si>
  <si>
    <t xml:space="preserve">Prinzenrolle Kakao   </t>
  </si>
  <si>
    <t>23 Pakete</t>
  </si>
  <si>
    <t xml:space="preserve">Prinzenrolle Vollkorn   </t>
  </si>
  <si>
    <t>352 Gramm</t>
  </si>
  <si>
    <t>DR.QUENDT</t>
  </si>
  <si>
    <t xml:space="preserve">Original Dresdner Russisch Brot   </t>
  </si>
  <si>
    <t xml:space="preserve">Amaretti   </t>
  </si>
  <si>
    <t xml:space="preserve">Italienische Loeffelbiskuits   </t>
  </si>
  <si>
    <t>GRABOWER</t>
  </si>
  <si>
    <t xml:space="preserve">Finesse Waffelblaetter Vollmilch   </t>
  </si>
  <si>
    <t>GRIESSON</t>
  </si>
  <si>
    <t xml:space="preserve">Soft Cakes Minis Orange   </t>
  </si>
  <si>
    <t>130 Gramm</t>
  </si>
  <si>
    <t xml:space="preserve">Softcake Orange   </t>
  </si>
  <si>
    <t xml:space="preserve">Butterspritzgebaeck   </t>
  </si>
  <si>
    <t xml:space="preserve">Cookies   </t>
  </si>
  <si>
    <t xml:space="preserve">Doppelkeks   </t>
  </si>
  <si>
    <t xml:space="preserve">Gebaeck und Waffelmischung   </t>
  </si>
  <si>
    <t xml:space="preserve">Mandellhoernchen   </t>
  </si>
  <si>
    <t>175 Gramm</t>
  </si>
  <si>
    <t xml:space="preserve">Mignon Waffeln   </t>
  </si>
  <si>
    <t>10 Beutel</t>
  </si>
  <si>
    <t xml:space="preserve">Schoko Butter Taler   </t>
  </si>
  <si>
    <t xml:space="preserve">Schoko Butterkeks Vollmilch   </t>
  </si>
  <si>
    <t xml:space="preserve">Schoko Butterkeks Zartbitter   </t>
  </si>
  <si>
    <t xml:space="preserve">Schoko Kraenze   </t>
  </si>
  <si>
    <t xml:space="preserve">Schokotatzen   </t>
  </si>
  <si>
    <t xml:space="preserve">Spritzgebäckmischung   </t>
  </si>
  <si>
    <t xml:space="preserve">Waffelmischung   </t>
  </si>
  <si>
    <t xml:space="preserve">Waffelroellchen   </t>
  </si>
  <si>
    <t>LAMBERTZ</t>
  </si>
  <si>
    <t>Compliments 2x250g</t>
  </si>
  <si>
    <t>RIPENSA</t>
  </si>
  <si>
    <t>Butter Cookies, Danish Devine 1lb</t>
  </si>
  <si>
    <t>453 Gramm</t>
  </si>
  <si>
    <t>SCHULTE</t>
  </si>
  <si>
    <t xml:space="preserve">Biskuit Zungen   </t>
  </si>
  <si>
    <t>Salzgebäck</t>
  </si>
  <si>
    <t xml:space="preserve">Dinkel Brezeln Mini   </t>
  </si>
  <si>
    <t>Studentenfutter, 200gr</t>
  </si>
  <si>
    <t>6 PA</t>
  </si>
  <si>
    <t xml:space="preserve">Vollkorn Brezeln   </t>
  </si>
  <si>
    <t xml:space="preserve">Ritz Craecker   </t>
  </si>
  <si>
    <t xml:space="preserve">TUC Cracker Classic   </t>
  </si>
  <si>
    <t xml:space="preserve">TUC Cracker Paprika   </t>
  </si>
  <si>
    <t xml:space="preserve">TUC Cracker Sour Cream   </t>
  </si>
  <si>
    <t xml:space="preserve">TUC Salzgebaeck Classic Cracker   </t>
  </si>
  <si>
    <t xml:space="preserve">Asia Nuts   </t>
  </si>
  <si>
    <t>14 Beutel</t>
  </si>
  <si>
    <t xml:space="preserve">Cashewkerne geröstet und gesalzen   </t>
  </si>
  <si>
    <t>Chips Cracker Sour Cream &amp; Onion</t>
  </si>
  <si>
    <t>0.125 Kilogramm</t>
  </si>
  <si>
    <t xml:space="preserve">Erdnusskerne geroestet und gesalzen   </t>
  </si>
  <si>
    <t xml:space="preserve">Grissini ital. Gebäckstange   </t>
  </si>
  <si>
    <t xml:space="preserve">Pistazien geroestet u. gesalzen   </t>
  </si>
  <si>
    <t>FUNNY-FRISCH</t>
  </si>
  <si>
    <t xml:space="preserve">Stixi   </t>
  </si>
  <si>
    <t>21 Pakete</t>
  </si>
  <si>
    <t>30 Dosen</t>
  </si>
  <si>
    <t xml:space="preserve">Erdnuss Flips   </t>
  </si>
  <si>
    <t>25 Beutel</t>
  </si>
  <si>
    <t xml:space="preserve">Erdnusskerne geroestet &amp; gesalzen   </t>
  </si>
  <si>
    <t xml:space="preserve">Kartoffelsticks Paprika   </t>
  </si>
  <si>
    <t>21 Beutel</t>
  </si>
  <si>
    <t>24 Beutel</t>
  </si>
  <si>
    <t xml:space="preserve">Macadamias   </t>
  </si>
  <si>
    <t>18 Beutel</t>
  </si>
  <si>
    <t xml:space="preserve">Pistazien geroestet und gesalzen   </t>
  </si>
  <si>
    <t>27 Beutel</t>
  </si>
  <si>
    <t xml:space="preserve">Salatkernmix (Sonnenblumenkerne, Kürbiskerne, Pinienkerne)  </t>
  </si>
  <si>
    <t>16 Beutel</t>
  </si>
  <si>
    <t xml:space="preserve">Salzbrezel   </t>
  </si>
  <si>
    <t xml:space="preserve">Salzstangen   </t>
  </si>
  <si>
    <t>28 Pakete</t>
  </si>
  <si>
    <t xml:space="preserve">Snack Mix   </t>
  </si>
  <si>
    <t xml:space="preserve">Stapelchips Paprika   </t>
  </si>
  <si>
    <t xml:space="preserve">Studentenfutter   </t>
  </si>
  <si>
    <t xml:space="preserve">Tortilla Chips Salz   </t>
  </si>
  <si>
    <t xml:space="preserve">Zwiebelringe   </t>
  </si>
  <si>
    <t>HOSTA</t>
  </si>
  <si>
    <t xml:space="preserve">Mister Tom   </t>
  </si>
  <si>
    <t>36 Stücke</t>
  </si>
  <si>
    <t>24 Stücke</t>
  </si>
  <si>
    <t>LORENZ</t>
  </si>
  <si>
    <t xml:space="preserve">Erdnusslocken   </t>
  </si>
  <si>
    <t>Naturals 30% w.Fett gesalzen</t>
  </si>
  <si>
    <t>95 Gramm</t>
  </si>
  <si>
    <t xml:space="preserve">Nic Nac Riegel   </t>
  </si>
  <si>
    <t xml:space="preserve">Nic Nac's   </t>
  </si>
  <si>
    <t xml:space="preserve">Party Clubs   </t>
  </si>
  <si>
    <t xml:space="preserve">Saltletts Mini-Brezel   </t>
  </si>
  <si>
    <t xml:space="preserve">Saltletts Sticks Classic   </t>
  </si>
  <si>
    <t xml:space="preserve">Snack Hits   </t>
  </si>
  <si>
    <t>320 Gramm</t>
  </si>
  <si>
    <t>PRINGLES</t>
  </si>
  <si>
    <t>Chips Cheese &amp; Onion</t>
  </si>
  <si>
    <t>165 Gramm</t>
  </si>
  <si>
    <t>19 Dosen</t>
  </si>
  <si>
    <t xml:space="preserve">Chips Hot Paprika   </t>
  </si>
  <si>
    <t xml:space="preserve">Chips Hot&amp;Spicy   </t>
  </si>
  <si>
    <t xml:space="preserve">Chips Original   </t>
  </si>
  <si>
    <t>Chips Salt &amp; Vinegar</t>
  </si>
  <si>
    <t xml:space="preserve">Chips Sour Cream &amp; Onion   </t>
  </si>
  <si>
    <t xml:space="preserve">Chips Sweet Paprika   </t>
  </si>
  <si>
    <t>SEEBERGER</t>
  </si>
  <si>
    <t>UELTJE</t>
  </si>
  <si>
    <t xml:space="preserve">Erdnuesse gesalzen   </t>
  </si>
  <si>
    <t>24 Dosen</t>
  </si>
  <si>
    <t xml:space="preserve">Erdnuesse ohne Salz   </t>
  </si>
  <si>
    <t>16 Dosen</t>
  </si>
  <si>
    <t xml:space="preserve">Erdnuesse pikant ohne Fett   </t>
  </si>
  <si>
    <t xml:space="preserve">Mix-Nuesse   </t>
  </si>
  <si>
    <t>WOLF</t>
  </si>
  <si>
    <t xml:space="preserve">Goldfischli   </t>
  </si>
  <si>
    <t>Schokolade</t>
  </si>
  <si>
    <t xml:space="preserve">After Eight   </t>
  </si>
  <si>
    <t xml:space="preserve">Bounty Single   </t>
  </si>
  <si>
    <t>57 Gramm</t>
  </si>
  <si>
    <t>24 Riegel</t>
  </si>
  <si>
    <t>Lion Schokoriegel 5er</t>
  </si>
  <si>
    <t xml:space="preserve">Mars Single   </t>
  </si>
  <si>
    <t>51 Gramm</t>
  </si>
  <si>
    <t xml:space="preserve">Nippon Puffreis Schokolade   </t>
  </si>
  <si>
    <t>24 Tafeln</t>
  </si>
  <si>
    <t>1 Tafel</t>
  </si>
  <si>
    <t>Nuts Multipack 5er</t>
  </si>
  <si>
    <t xml:space="preserve">Smarties Rolle   </t>
  </si>
  <si>
    <t>38 Gramm</t>
  </si>
  <si>
    <t>36 Rollen</t>
  </si>
  <si>
    <t>24 Rollen</t>
  </si>
  <si>
    <t xml:space="preserve">Snickers Single   </t>
  </si>
  <si>
    <t>50 Gramm</t>
  </si>
  <si>
    <t>Toblerone, Schweizer Milchschokolade mit Honig- und Mandel-Nougat</t>
  </si>
  <si>
    <t>20 Riegel</t>
  </si>
  <si>
    <t>10 Riegel</t>
  </si>
  <si>
    <t xml:space="preserve">Twix Single   </t>
  </si>
  <si>
    <t>25 Riegel</t>
  </si>
  <si>
    <t xml:space="preserve">Bitter Schokolade   </t>
  </si>
  <si>
    <t>10 Tafeln</t>
  </si>
  <si>
    <t xml:space="preserve">Nougat Schokolade   </t>
  </si>
  <si>
    <t xml:space="preserve">Erfrischungsstaebchen   </t>
  </si>
  <si>
    <t>DOVE</t>
  </si>
  <si>
    <t xml:space="preserve">Amicelli   </t>
  </si>
  <si>
    <t xml:space="preserve">Eis-Bonbons   </t>
  </si>
  <si>
    <t xml:space="preserve">Euka-Menthol Bonbons   </t>
  </si>
  <si>
    <t>15 Beutel</t>
  </si>
  <si>
    <t xml:space="preserve">Feine Kraeuter Bonbons   </t>
  </si>
  <si>
    <t xml:space="preserve">Gelee Ananas Ecken   </t>
  </si>
  <si>
    <t xml:space="preserve">Gelee Fruchtmischung   </t>
  </si>
  <si>
    <t xml:space="preserve">Geleebananen   </t>
  </si>
  <si>
    <t xml:space="preserve">Jamaica Rumkugeln   </t>
  </si>
  <si>
    <t xml:space="preserve">Kokosflocken   </t>
  </si>
  <si>
    <t xml:space="preserve">Lieblingsstuecke Pralinenmischung   </t>
  </si>
  <si>
    <t xml:space="preserve">Pfefferminztaler   </t>
  </si>
  <si>
    <t xml:space="preserve">Zartbitter Schokolade   </t>
  </si>
  <si>
    <t>15 Tafeln</t>
  </si>
  <si>
    <t>12 Tafeln</t>
  </si>
  <si>
    <t>FERRERO</t>
  </si>
  <si>
    <t xml:space="preserve">Die Besten   </t>
  </si>
  <si>
    <t>269 Gramm</t>
  </si>
  <si>
    <t xml:space="preserve">Duplo Einzelriegel   </t>
  </si>
  <si>
    <t>40 Riegel</t>
  </si>
  <si>
    <t>Duplo White 10er</t>
  </si>
  <si>
    <t>182 Gramm</t>
  </si>
  <si>
    <t>Giotto 4x9Kugeln</t>
  </si>
  <si>
    <t>154.8 Gramm</t>
  </si>
  <si>
    <t>Hanuta 10er</t>
  </si>
  <si>
    <t>220 Gramm</t>
  </si>
  <si>
    <t>Hanuta 2er</t>
  </si>
  <si>
    <t>Kinder Bueno 6er</t>
  </si>
  <si>
    <t>129 Gramm</t>
  </si>
  <si>
    <t>27 Pakete</t>
  </si>
  <si>
    <t>Kinder Country 9er</t>
  </si>
  <si>
    <t xml:space="preserve">Kinder Country Riegel   </t>
  </si>
  <si>
    <t xml:space="preserve">Kinder Riegel   </t>
  </si>
  <si>
    <t>36 Riegel</t>
  </si>
  <si>
    <t xml:space="preserve">Kinder Schokobons   </t>
  </si>
  <si>
    <t>Kinder Schokoriegel 10er</t>
  </si>
  <si>
    <t xml:space="preserve">Kinderschokolade   </t>
  </si>
  <si>
    <t>40 Tafeln</t>
  </si>
  <si>
    <t xml:space="preserve">Kuesschen   </t>
  </si>
  <si>
    <t>267 Gramm</t>
  </si>
  <si>
    <t>178 Gramm</t>
  </si>
  <si>
    <t xml:space="preserve">Mon Cheri   </t>
  </si>
  <si>
    <t>105 Gramm</t>
  </si>
  <si>
    <t xml:space="preserve">Raffaello   </t>
  </si>
  <si>
    <t>230 Gramm</t>
  </si>
  <si>
    <t>Raffaello 4er</t>
  </si>
  <si>
    <t>Rocher 4er</t>
  </si>
  <si>
    <t xml:space="preserve">Schokobons   </t>
  </si>
  <si>
    <t>Yogurette 9er</t>
  </si>
  <si>
    <t xml:space="preserve">Alpenrahm Haselnuss Schokolade   </t>
  </si>
  <si>
    <t>38 Tafeln</t>
  </si>
  <si>
    <t xml:space="preserve">Alpenvollmilch Schokolade   </t>
  </si>
  <si>
    <t>20 Tafeln</t>
  </si>
  <si>
    <t>42 Tafeln</t>
  </si>
  <si>
    <t xml:space="preserve">Edel Alpenrahm Nuss Schokolade   </t>
  </si>
  <si>
    <t xml:space="preserve">Edel Vollmilch ganze Nuss   </t>
  </si>
  <si>
    <t xml:space="preserve">Schokoplaetzchen   </t>
  </si>
  <si>
    <t xml:space="preserve">Trauben Nuss Schokolade   </t>
  </si>
  <si>
    <t xml:space="preserve">Weisse Schokolade   </t>
  </si>
  <si>
    <t xml:space="preserve">Zartbitter-Schokolade   </t>
  </si>
  <si>
    <t>KITKAT</t>
  </si>
  <si>
    <t xml:space="preserve">Kitekat Einzelriegel   </t>
  </si>
  <si>
    <t>41.5 Gramm</t>
  </si>
  <si>
    <t>LINDT</t>
  </si>
  <si>
    <t xml:space="preserve">Schokolade Gold Vollmilch   </t>
  </si>
  <si>
    <t>MANNER</t>
  </si>
  <si>
    <t xml:space="preserve">Neapolitaner Schnitten   </t>
  </si>
  <si>
    <t>MARABOU</t>
  </si>
  <si>
    <t xml:space="preserve">Milk Chocolate   </t>
  </si>
  <si>
    <t xml:space="preserve">Milk Nut Chocolate   </t>
  </si>
  <si>
    <t>14 Tafeln</t>
  </si>
  <si>
    <t xml:space="preserve">Schokolade Vollmilch   </t>
  </si>
  <si>
    <t>MARS</t>
  </si>
  <si>
    <t xml:space="preserve">Celebrations   </t>
  </si>
  <si>
    <t>186 Gramm</t>
  </si>
  <si>
    <t>M&amp;M´s Choco</t>
  </si>
  <si>
    <t>M&amp;M´s Peanut</t>
  </si>
  <si>
    <t>MILKA</t>
  </si>
  <si>
    <t xml:space="preserve">Alpenmilch   </t>
  </si>
  <si>
    <t>270 Gramm</t>
  </si>
  <si>
    <t>16 Tafeln</t>
  </si>
  <si>
    <t xml:space="preserve">Die Weisse   </t>
  </si>
  <si>
    <t>22 Tafeln</t>
  </si>
  <si>
    <t xml:space="preserve">Ganze Haselnuss   </t>
  </si>
  <si>
    <t>13 Tafeln</t>
  </si>
  <si>
    <t>Ganze Nuss</t>
  </si>
  <si>
    <t>17 Tafeln</t>
  </si>
  <si>
    <t xml:space="preserve">Joghurt   </t>
  </si>
  <si>
    <t>23 Tafeln</t>
  </si>
  <si>
    <t xml:space="preserve">Luflee Schokolade   </t>
  </si>
  <si>
    <t>Milch Schokoladen Tafel</t>
  </si>
  <si>
    <t>90 Gramm</t>
  </si>
  <si>
    <t>25 Tafeln</t>
  </si>
  <si>
    <t xml:space="preserve">Milka &amp; Oreo   </t>
  </si>
  <si>
    <t xml:space="preserve">Noisette   </t>
  </si>
  <si>
    <t>Nussini  Haselnuss</t>
  </si>
  <si>
    <t>31.5 Gramm</t>
  </si>
  <si>
    <t>35 Riegel</t>
  </si>
  <si>
    <t xml:space="preserve">Schoko &amp; Keks   </t>
  </si>
  <si>
    <t xml:space="preserve">Schokolade Kuhflecken   </t>
  </si>
  <si>
    <t>NAPOLI</t>
  </si>
  <si>
    <t xml:space="preserve">Napoli Neapolitaner   </t>
  </si>
  <si>
    <t>195 Gramm</t>
  </si>
  <si>
    <t>30 Pakete</t>
  </si>
  <si>
    <t xml:space="preserve">Choclait Chips Classic   </t>
  </si>
  <si>
    <t>115 Gramm</t>
  </si>
  <si>
    <t xml:space="preserve">Choclait Chips white   </t>
  </si>
  <si>
    <t xml:space="preserve">Choco Crossies braun   </t>
  </si>
  <si>
    <t xml:space="preserve">KitKat Minis   </t>
  </si>
  <si>
    <t>217 Gramm</t>
  </si>
  <si>
    <t>PIASTEN</t>
  </si>
  <si>
    <t xml:space="preserve">Schokolinsen   </t>
  </si>
  <si>
    <t>RITTER SPORT</t>
  </si>
  <si>
    <t>Die Kräftige aus Peru 74% Edelbitter</t>
  </si>
  <si>
    <t xml:space="preserve">Dunkle Voll-Nuss   </t>
  </si>
  <si>
    <t>Edel-Vollmilch 35%</t>
  </si>
  <si>
    <t xml:space="preserve">Erdbeer Joghurt   </t>
  </si>
  <si>
    <t xml:space="preserve">Ganze Mandel   </t>
  </si>
  <si>
    <t>11 Tafeln</t>
  </si>
  <si>
    <t>Halbbitter 50%</t>
  </si>
  <si>
    <t xml:space="preserve">Honig Salzmandel   </t>
  </si>
  <si>
    <t xml:space="preserve">Kakaomousse   </t>
  </si>
  <si>
    <t xml:space="preserve">Knusperflakes   </t>
  </si>
  <si>
    <t xml:space="preserve">Knusperkeks   </t>
  </si>
  <si>
    <t xml:space="preserve">Kokos   </t>
  </si>
  <si>
    <t xml:space="preserve">Marzipan   </t>
  </si>
  <si>
    <t xml:space="preserve">Nougat   </t>
  </si>
  <si>
    <t xml:space="preserve">Pfefferminze   </t>
  </si>
  <si>
    <t xml:space="preserve">Ritter Rum   </t>
  </si>
  <si>
    <t xml:space="preserve">Rum-Trauben-Nuss   </t>
  </si>
  <si>
    <t xml:space="preserve">Trauben-Nuss   </t>
  </si>
  <si>
    <t xml:space="preserve">Voll Nuss   </t>
  </si>
  <si>
    <t xml:space="preserve">Weiss+Crisp   </t>
  </si>
  <si>
    <t xml:space="preserve">Weisse Voll-Nuss   </t>
  </si>
  <si>
    <t>SAROTTI</t>
  </si>
  <si>
    <t xml:space="preserve">Eszet Schnitten Vollmilch   </t>
  </si>
  <si>
    <t xml:space="preserve">Eszet Schnitten Zartbitter Schokolade   </t>
  </si>
  <si>
    <t xml:space="preserve">Katzenzungen Vollmilch   </t>
  </si>
  <si>
    <t>STORCK</t>
  </si>
  <si>
    <t xml:space="preserve">Bonbon Durchbeisser   </t>
  </si>
  <si>
    <t>425 Gramm</t>
  </si>
  <si>
    <t xml:space="preserve">Merci Grosse Vielfalt   </t>
  </si>
  <si>
    <t xml:space="preserve">Merci Helle Vielfalt   </t>
  </si>
  <si>
    <t xml:space="preserve">Merci Petit Chocolate Collection   </t>
  </si>
  <si>
    <t xml:space="preserve">Merci Vielfalt   </t>
  </si>
  <si>
    <t>8 Tafeln</t>
  </si>
  <si>
    <t xml:space="preserve">Riesen   </t>
  </si>
  <si>
    <t>231 Gramm</t>
  </si>
  <si>
    <t>Toffifee 15 Stueck</t>
  </si>
  <si>
    <t>Toffifee 48 Stueck</t>
  </si>
  <si>
    <t xml:space="preserve">Werther´s Original Pralinen Karamell   </t>
  </si>
  <si>
    <t>153 Gramm</t>
  </si>
  <si>
    <t xml:space="preserve">Werthers Original   </t>
  </si>
  <si>
    <t>245 Gramm</t>
  </si>
  <si>
    <t>TRUMPF</t>
  </si>
  <si>
    <t xml:space="preserve">Edle Tropfen in Nuss   </t>
  </si>
  <si>
    <t xml:space="preserve">Edle Tropfen in Nuss, weiss   </t>
  </si>
  <si>
    <t xml:space="preserve">Edle Tropfen Klare Braende   </t>
  </si>
  <si>
    <t xml:space="preserve">Edle Tropfen Obstlikoer   </t>
  </si>
  <si>
    <t xml:space="preserve">Schogetten Halbbitter   </t>
  </si>
  <si>
    <t xml:space="preserve">Schogetten Joghurt Erdbeer   </t>
  </si>
  <si>
    <t xml:space="preserve">Schogetten Vollmilch   </t>
  </si>
  <si>
    <t xml:space="preserve">Schogetten Vollmilch Nuss   </t>
  </si>
  <si>
    <t>WICK</t>
  </si>
  <si>
    <t xml:space="preserve">Zitrone&amp;Menthol ohne Zucker   </t>
  </si>
  <si>
    <t>72 Gramm</t>
  </si>
  <si>
    <t>Fruchtgummi</t>
  </si>
  <si>
    <t xml:space="preserve">Bussi Eisstangen Mix   </t>
  </si>
  <si>
    <t xml:space="preserve">Fisherman's Friend   </t>
  </si>
  <si>
    <t xml:space="preserve">Fisherman's Friend Lemon ohne Zucker   </t>
  </si>
  <si>
    <t>25 Gramm</t>
  </si>
  <si>
    <t xml:space="preserve">Fisherman's Friend Mint ohne Zucker   </t>
  </si>
  <si>
    <t>CHUPA</t>
  </si>
  <si>
    <t>Chupa Chups Lutscher 20er</t>
  </si>
  <si>
    <t>DEXTRO</t>
  </si>
  <si>
    <t xml:space="preserve">Energen Classic   </t>
  </si>
  <si>
    <t>36 Pakete</t>
  </si>
  <si>
    <t xml:space="preserve">Energen Minis Johannisbeere   </t>
  </si>
  <si>
    <t xml:space="preserve">Energen Minis Pfirsich   </t>
  </si>
  <si>
    <t xml:space="preserve">Energen Minis Wildkirsche   </t>
  </si>
  <si>
    <t xml:space="preserve">Tic Tac Fresh Mint   </t>
  </si>
  <si>
    <t>18 Gramm</t>
  </si>
  <si>
    <t xml:space="preserve">Tic Tac Orange   </t>
  </si>
  <si>
    <t>FRIGEO</t>
  </si>
  <si>
    <t>Ahoi Brausebrocken 10x8 gr.</t>
  </si>
  <si>
    <t>80 Gramm</t>
  </si>
  <si>
    <t>34 Beutel</t>
  </si>
  <si>
    <t>Ahoi-Brausepulver 10er</t>
  </si>
  <si>
    <t>58 Gramm</t>
  </si>
  <si>
    <t xml:space="preserve">Eukalyptus-Menthol Bonbons   </t>
  </si>
  <si>
    <t>HARIBO</t>
  </si>
  <si>
    <t xml:space="preserve">Bumix   </t>
  </si>
  <si>
    <t xml:space="preserve">Bunte Vampire   </t>
  </si>
  <si>
    <t xml:space="preserve">Color Rado   </t>
  </si>
  <si>
    <t>36 Beutel</t>
  </si>
  <si>
    <t xml:space="preserve">Erdbeeren   </t>
  </si>
  <si>
    <t xml:space="preserve">Goldbaeren   </t>
  </si>
  <si>
    <t>40 Beutel</t>
  </si>
  <si>
    <t>30 Beutel</t>
  </si>
  <si>
    <t xml:space="preserve">Goldbaeren Minis   </t>
  </si>
  <si>
    <t xml:space="preserve">Happy Cola   </t>
  </si>
  <si>
    <t xml:space="preserve">Konfekt   </t>
  </si>
  <si>
    <t>32 Beutel</t>
  </si>
  <si>
    <t xml:space="preserve">Lakritz Schnecken   </t>
  </si>
  <si>
    <t xml:space="preserve">Mega Roulette   </t>
  </si>
  <si>
    <t>40 Rollen</t>
  </si>
  <si>
    <t xml:space="preserve">Mini-Goldbaeren   </t>
  </si>
  <si>
    <t xml:space="preserve">Phantasia   </t>
  </si>
  <si>
    <t>17 Beutel</t>
  </si>
  <si>
    <t xml:space="preserve">Pico Balla   </t>
  </si>
  <si>
    <t xml:space="preserve">Quaxi Froeschli   </t>
  </si>
  <si>
    <t xml:space="preserve">Saft Goldbaeren   </t>
  </si>
  <si>
    <t xml:space="preserve">Salino   </t>
  </si>
  <si>
    <t xml:space="preserve">Saure Pommes   </t>
  </si>
  <si>
    <t xml:space="preserve">Stafetten   </t>
  </si>
  <si>
    <t>106 Gramm</t>
  </si>
  <si>
    <t xml:space="preserve">Starmix Minis   </t>
  </si>
  <si>
    <t xml:space="preserve">Tropi-Frutti   </t>
  </si>
  <si>
    <t xml:space="preserve">Weinland Dessert   </t>
  </si>
  <si>
    <t>JAMBOREE</t>
  </si>
  <si>
    <t xml:space="preserve">Gumball Kaugummistange </t>
  </si>
  <si>
    <t>26 Beutel</t>
  </si>
  <si>
    <t>KATJES</t>
  </si>
  <si>
    <t xml:space="preserve">Fred Ferkel   </t>
  </si>
  <si>
    <t xml:space="preserve">Grün Ohr Hase   </t>
  </si>
  <si>
    <t xml:space="preserve">Kinderlakritz   </t>
  </si>
  <si>
    <t xml:space="preserve">Pfoetchen Lakritz   </t>
  </si>
  <si>
    <t xml:space="preserve">Salzige Heringe   </t>
  </si>
  <si>
    <t xml:space="preserve">Tapsy ohne Farbstoff   </t>
  </si>
  <si>
    <t xml:space="preserve">Tropenfruechte ohne Fett   </t>
  </si>
  <si>
    <t>22 Beutel</t>
  </si>
  <si>
    <t xml:space="preserve">Wunderland   </t>
  </si>
  <si>
    <t xml:space="preserve">Yoghurt Gums ohne Fett   </t>
  </si>
  <si>
    <t>KUEFA</t>
  </si>
  <si>
    <t>Lutscher Kugel 4er</t>
  </si>
  <si>
    <t xml:space="preserve">Chipsletten Hotspicy   </t>
  </si>
  <si>
    <t xml:space="preserve">Chipsletten Paprika   </t>
  </si>
  <si>
    <t xml:space="preserve">Chipsletten Salz   </t>
  </si>
  <si>
    <t xml:space="preserve">Nic Nac   </t>
  </si>
  <si>
    <t>MACKINTOSH</t>
  </si>
  <si>
    <t xml:space="preserve">Quality Street   </t>
  </si>
  <si>
    <t>265 Gramm</t>
  </si>
  <si>
    <t>MAOAM</t>
  </si>
  <si>
    <t xml:space="preserve">Fruchtkracher   </t>
  </si>
  <si>
    <t>Kaubonbon 5er</t>
  </si>
  <si>
    <t>48 Pakete</t>
  </si>
  <si>
    <t>MENTOS</t>
  </si>
  <si>
    <t>Frucht 3er</t>
  </si>
  <si>
    <t>25 Pakete</t>
  </si>
  <si>
    <t xml:space="preserve">Frucht einzeln   </t>
  </si>
  <si>
    <t>Mint 3er</t>
  </si>
  <si>
    <t xml:space="preserve">Mint Einzel   </t>
  </si>
  <si>
    <t>Spearmint 3er</t>
  </si>
  <si>
    <t xml:space="preserve">Spearmint Einzel   </t>
  </si>
  <si>
    <t>MORITZ</t>
  </si>
  <si>
    <t xml:space="preserve">Eiskonfekt   </t>
  </si>
  <si>
    <t>MUELLERS MUEHLE</t>
  </si>
  <si>
    <t xml:space="preserve">Traubenzucker   </t>
  </si>
  <si>
    <t>PULMOLL</t>
  </si>
  <si>
    <t>Hustenbonbons  Classic rot</t>
  </si>
  <si>
    <t>10 Dosen</t>
  </si>
  <si>
    <t>RICOLA</t>
  </si>
  <si>
    <t xml:space="preserve">Kraeuter Original   </t>
  </si>
  <si>
    <t xml:space="preserve">Salbei o. Zucker   </t>
  </si>
  <si>
    <t xml:space="preserve">Schweizer Kraeuterzucker   </t>
  </si>
  <si>
    <t xml:space="preserve">Schweizer Zitronenmelisse ohne Zucker   </t>
  </si>
  <si>
    <t>Campino 3 Fruechte Mix</t>
  </si>
  <si>
    <t>140 Gramm</t>
  </si>
  <si>
    <t xml:space="preserve">Campino Fruechte   </t>
  </si>
  <si>
    <t>335 Gramm</t>
  </si>
  <si>
    <t>Nimm 2</t>
  </si>
  <si>
    <t>429 Gramm</t>
  </si>
  <si>
    <t>Nimm 2 Lachgummi</t>
  </si>
  <si>
    <t>376 Gramm</t>
  </si>
  <si>
    <t>Nimm 2 Soft</t>
  </si>
  <si>
    <t>116 Gramm</t>
  </si>
  <si>
    <t>TROLLI</t>
  </si>
  <si>
    <t xml:space="preserve">Pfirsichringe   </t>
  </si>
  <si>
    <t xml:space="preserve">Saure Apfelringe   </t>
  </si>
  <si>
    <t xml:space="preserve">Saure Glühwürmchen   </t>
  </si>
  <si>
    <t>VIVIL</t>
  </si>
  <si>
    <t>Pfefferminz ohne Zucker Rolle, 3er</t>
  </si>
  <si>
    <t>Pfefferminz Rolle 3er</t>
  </si>
  <si>
    <t xml:space="preserve">Blau ohne Zucker   </t>
  </si>
  <si>
    <t>Hülsenfrüchte</t>
  </si>
  <si>
    <t xml:space="preserve">Polenta Maisgries   </t>
  </si>
  <si>
    <t>10 Kilogramm</t>
  </si>
  <si>
    <t xml:space="preserve">Sonnenblumenkerne geschaelt   </t>
  </si>
  <si>
    <t>BRUEGGEN</t>
  </si>
  <si>
    <t>Hafergruetze   Vollkorn</t>
  </si>
  <si>
    <t>11 Pakete</t>
  </si>
  <si>
    <t xml:space="preserve">Perlgraupen grob   </t>
  </si>
  <si>
    <t>DIAMANT</t>
  </si>
  <si>
    <t xml:space="preserve">Hartweizengries   </t>
  </si>
  <si>
    <t xml:space="preserve">Weichweizengriess   </t>
  </si>
  <si>
    <t xml:space="preserve">Pflaumen entsteint   </t>
  </si>
  <si>
    <t>13 Beutel</t>
  </si>
  <si>
    <t>EDEKA BIO</t>
  </si>
  <si>
    <t xml:space="preserve">Hartweizengriess   </t>
  </si>
  <si>
    <t>KLUTH</t>
  </si>
  <si>
    <t xml:space="preserve">Mais zur Herstellung von Popcorn   </t>
  </si>
  <si>
    <t>LEIMER</t>
  </si>
  <si>
    <t xml:space="preserve">Backerbsen   </t>
  </si>
  <si>
    <t>MARYLAND</t>
  </si>
  <si>
    <t xml:space="preserve">Kuerbiskerne gruen   </t>
  </si>
  <si>
    <t>4 Beutel</t>
  </si>
  <si>
    <t xml:space="preserve">Bohnen weiß   </t>
  </si>
  <si>
    <t xml:space="preserve">Erbsen gruen   </t>
  </si>
  <si>
    <t xml:space="preserve">Erbsen gruen ungeschaelt   </t>
  </si>
  <si>
    <t xml:space="preserve">Linsen   </t>
  </si>
  <si>
    <t xml:space="preserve">Pardina Linsen   </t>
  </si>
  <si>
    <t>Perlgraupen mittel</t>
  </si>
  <si>
    <t xml:space="preserve">Perlsago   </t>
  </si>
  <si>
    <t xml:space="preserve">Quinoa weiss   </t>
  </si>
  <si>
    <t>Rote Linsen   5KG</t>
  </si>
  <si>
    <t>5 Kilogramm</t>
  </si>
  <si>
    <t xml:space="preserve">Schwarze Bohnen erlesene Qualitaet   </t>
  </si>
  <si>
    <t xml:space="preserve">Teller-Linsen, erlesene Qualitaet   </t>
  </si>
  <si>
    <t xml:space="preserve">Wachtel Bohnen   </t>
  </si>
  <si>
    <t>SCHAPFEN</t>
  </si>
  <si>
    <t xml:space="preserve">Leinsamen geschrotet   </t>
  </si>
  <si>
    <t xml:space="preserve">Kuerbiskerne geroestet und gesalzen   </t>
  </si>
  <si>
    <t>Mikrowellen-Popcorn, suess, 90g</t>
  </si>
  <si>
    <t xml:space="preserve">Pinienkerne   </t>
  </si>
  <si>
    <t xml:space="preserve">Sonnenblummenkerne   </t>
  </si>
  <si>
    <t>Trockenobst</t>
  </si>
  <si>
    <t xml:space="preserve">Sultaninen   </t>
  </si>
  <si>
    <t xml:space="preserve">Aprikosen entsteint   </t>
  </si>
  <si>
    <t>Trockenmischobst 5-Frcuht</t>
  </si>
  <si>
    <t xml:space="preserve">Apfelringe   </t>
  </si>
  <si>
    <t xml:space="preserve">Feigen supersaftig   </t>
  </si>
  <si>
    <t>Marmeladen</t>
  </si>
  <si>
    <t>BONNE MAMAN</t>
  </si>
  <si>
    <t xml:space="preserve">Konfituere Aprikose   </t>
  </si>
  <si>
    <t>370 Gramm</t>
  </si>
  <si>
    <t xml:space="preserve">Konfituere Erdbeere   </t>
  </si>
  <si>
    <t xml:space="preserve">Konfituere Pfirsich   </t>
  </si>
  <si>
    <t>GLÜCK</t>
  </si>
  <si>
    <t xml:space="preserve">Fruchtaufstrich Erdbeer   </t>
  </si>
  <si>
    <t xml:space="preserve">Fruchtaufstrich Kirsche   </t>
  </si>
  <si>
    <t xml:space="preserve">Fruchtaufstrich Rhabarber   </t>
  </si>
  <si>
    <t xml:space="preserve">Erdbeer Konfituere   </t>
  </si>
  <si>
    <t>10 Gläser</t>
  </si>
  <si>
    <t xml:space="preserve">Konfituere extra Aprikose   </t>
  </si>
  <si>
    <t xml:space="preserve">Konfituere extra Heidelbeere   </t>
  </si>
  <si>
    <t xml:space="preserve">Konfituere extra Himbeere   </t>
  </si>
  <si>
    <t xml:space="preserve">Konfituere extra Sauerkirsch   </t>
  </si>
  <si>
    <t xml:space="preserve">Konfituere extra Waldfrucht   </t>
  </si>
  <si>
    <t xml:space="preserve">Pflaumenmus   </t>
  </si>
  <si>
    <t>Rote Johannisbeere</t>
  </si>
  <si>
    <t>KOO</t>
  </si>
  <si>
    <t xml:space="preserve">Bittere Orangemarmelade   </t>
  </si>
  <si>
    <t>SCHWARTAU</t>
  </si>
  <si>
    <t xml:space="preserve">Extra Aprikose   </t>
  </si>
  <si>
    <t xml:space="preserve">Extra Erdbeere   </t>
  </si>
  <si>
    <t xml:space="preserve">Extra Heidelbeere   </t>
  </si>
  <si>
    <t xml:space="preserve">Extra Kirsch   </t>
  </si>
  <si>
    <t xml:space="preserve">Extra Rote Johannisbeere   </t>
  </si>
  <si>
    <t xml:space="preserve">Extra Schwarze Kirsche   </t>
  </si>
  <si>
    <t xml:space="preserve">Gelee Brombeer   </t>
  </si>
  <si>
    <t xml:space="preserve">Gelee Himbeer   </t>
  </si>
  <si>
    <t xml:space="preserve">Gelee Himbeer/Johannisbeer   </t>
  </si>
  <si>
    <t xml:space="preserve">Gelee Quitte   </t>
  </si>
  <si>
    <t xml:space="preserve">Gelee Rote Johannesbeere   </t>
  </si>
  <si>
    <t xml:space="preserve">Gelee Schwarze Johannisbeere   </t>
  </si>
  <si>
    <t xml:space="preserve">Gelee Wildbeere   </t>
  </si>
  <si>
    <t xml:space="preserve">Holsteiner Pflaumenmus   </t>
  </si>
  <si>
    <t>8 Dosen</t>
  </si>
  <si>
    <t>Konfituere 3 Beeren</t>
  </si>
  <si>
    <t xml:space="preserve">Konfituere Ananas   </t>
  </si>
  <si>
    <t xml:space="preserve">Konfituere Erdbeere mit Vanille   </t>
  </si>
  <si>
    <t xml:space="preserve">Konfituere Himbeere   </t>
  </si>
  <si>
    <t xml:space="preserve">Konfituere Orange   </t>
  </si>
  <si>
    <t xml:space="preserve">Konfituere Waldfrucht   </t>
  </si>
  <si>
    <t xml:space="preserve">Samt Aprikose   </t>
  </si>
  <si>
    <t xml:space="preserve">Samt Erbeere   </t>
  </si>
  <si>
    <t xml:space="preserve">Samt Erdbeer-Vanille   </t>
  </si>
  <si>
    <t xml:space="preserve">Samt Kirsche   </t>
  </si>
  <si>
    <t xml:space="preserve">Samt Konfituere Brombeer   </t>
  </si>
  <si>
    <t xml:space="preserve">Spezialitaeten Bittere Orangemarmelade   </t>
  </si>
  <si>
    <t>ZENTIS</t>
  </si>
  <si>
    <t xml:space="preserve">Aachener Pfluemli   </t>
  </si>
  <si>
    <t>12 Becher</t>
  </si>
  <si>
    <t>Konfituere 50% weniger Zucker Aprikose</t>
  </si>
  <si>
    <t>Konfituere 50% weniger Zucker Himbeere</t>
  </si>
  <si>
    <t>8 Becher</t>
  </si>
  <si>
    <t xml:space="preserve">Konfituere Erdbeer   </t>
  </si>
  <si>
    <t xml:space="preserve">Konfituere Pfluemli   </t>
  </si>
  <si>
    <t>10 Becher</t>
  </si>
  <si>
    <t xml:space="preserve">Konfituere schwarze Kirsche   </t>
  </si>
  <si>
    <t xml:space="preserve">Landliebe Gelee Quitte   </t>
  </si>
  <si>
    <t xml:space="preserve">Landliebe Konfituere Aproikose   </t>
  </si>
  <si>
    <t xml:space="preserve">Landliebe Konfituere Sauerkirsche   </t>
  </si>
  <si>
    <t xml:space="preserve">Landliebe Konfituere Waldheidelbeere   </t>
  </si>
  <si>
    <t>Grütze</t>
  </si>
  <si>
    <t xml:space="preserve">Rote Gruetze Sauerkirsch   </t>
  </si>
  <si>
    <t>1 Glas</t>
  </si>
  <si>
    <t>Honig</t>
  </si>
  <si>
    <t xml:space="preserve">Agavendicksaft   </t>
  </si>
  <si>
    <t>6 Becher</t>
  </si>
  <si>
    <t>BIOPHAR</t>
  </si>
  <si>
    <t xml:space="preserve">Akazienhonig   </t>
  </si>
  <si>
    <t xml:space="preserve">Bio Bluetenhonig fluessig   </t>
  </si>
  <si>
    <t xml:space="preserve">Deutscher Bluetenhonig cremig   </t>
  </si>
  <si>
    <t xml:space="preserve">Lindenhonig   </t>
  </si>
  <si>
    <t xml:space="preserve">Wabenecht Gebirgsbluete cremig   </t>
  </si>
  <si>
    <t>DREYER</t>
  </si>
  <si>
    <t xml:space="preserve">Goldbiene Honig   </t>
  </si>
  <si>
    <t xml:space="preserve">Rapshonig   </t>
  </si>
  <si>
    <t xml:space="preserve">Wildbluetenhonig   </t>
  </si>
  <si>
    <t xml:space="preserve">Bio Blütenhonig cremig </t>
  </si>
  <si>
    <t xml:space="preserve">Bio Blütenhonig flüssig   </t>
  </si>
  <si>
    <t>GRAFSCHAFTER</t>
  </si>
  <si>
    <t xml:space="preserve">Goldsaft/Sirup   </t>
  </si>
  <si>
    <t>1 Becher</t>
  </si>
  <si>
    <t xml:space="preserve">Bluetenhonig flüssig   </t>
  </si>
  <si>
    <t xml:space="preserve">Imkerhonig cremig   </t>
  </si>
  <si>
    <t>LANGNESE</t>
  </si>
  <si>
    <t xml:space="preserve">Flotte Biene Fairtrade Blütenhonig   </t>
  </si>
  <si>
    <t xml:space="preserve">Flotte Biene Frühlingsblütenhonig   </t>
  </si>
  <si>
    <t xml:space="preserve">Flotte Biene Gebirgsblüte cremig   </t>
  </si>
  <si>
    <t xml:space="preserve">Flotte Biene Obstblüte   </t>
  </si>
  <si>
    <t xml:space="preserve">Flotte Biene Sonnenblumenhonig   </t>
  </si>
  <si>
    <t xml:space="preserve">Flotte Biene Waldhonig   </t>
  </si>
  <si>
    <t xml:space="preserve">Flotte Biene Wildblumen Honig   </t>
  </si>
  <si>
    <t xml:space="preserve">Landhonig goldcremig   </t>
  </si>
  <si>
    <t xml:space="preserve">Sommerblütenhonig fluessig   </t>
  </si>
  <si>
    <t>Streichcreme</t>
  </si>
  <si>
    <t xml:space="preserve">Erdnussbutter   </t>
  </si>
  <si>
    <t>Nudossi Haselnuss-Nougat Creme</t>
  </si>
  <si>
    <t>15 Becher</t>
  </si>
  <si>
    <t xml:space="preserve">Bio Aufstrich Paprika vegan   </t>
  </si>
  <si>
    <t xml:space="preserve">Streichcreme Aubergine   </t>
  </si>
  <si>
    <t xml:space="preserve">Nutella   </t>
  </si>
  <si>
    <t>15 Gläser</t>
  </si>
  <si>
    <t xml:space="preserve">Nutella &amp; Go   </t>
  </si>
  <si>
    <t>52 Gramm</t>
  </si>
  <si>
    <t>Nutella B-ready 6er</t>
  </si>
  <si>
    <t>132 Gramm</t>
  </si>
  <si>
    <t xml:space="preserve">Nuss-Nougat-Creme   </t>
  </si>
  <si>
    <t>OVOMALTINE</t>
  </si>
  <si>
    <t xml:space="preserve">Crunchy Cream   </t>
  </si>
  <si>
    <t>380 Gramm</t>
  </si>
  <si>
    <t xml:space="preserve">Nusspli   </t>
  </si>
  <si>
    <t>Fixprodukte</t>
  </si>
  <si>
    <t>Miracoli Pasta Sauce Tomate-Basilikum</t>
  </si>
  <si>
    <t>ALNTAURA BIO</t>
  </si>
  <si>
    <t xml:space="preserve">Gemuese Bruehwuerfel   </t>
  </si>
  <si>
    <t>66 Gramm</t>
  </si>
  <si>
    <t>15 Stücke</t>
  </si>
  <si>
    <t xml:space="preserve">Vegetarische Bolognese   </t>
  </si>
  <si>
    <t xml:space="preserve">Klare Gemuesebruehe   </t>
  </si>
  <si>
    <t>20 Gläser</t>
  </si>
  <si>
    <t xml:space="preserve">Salatfix Paprikakraeuter   </t>
  </si>
  <si>
    <t>KNORR</t>
  </si>
  <si>
    <t>5 Minuten Terrine Nudeln in Tomatensauce</t>
  </si>
  <si>
    <t>60 Gramm</t>
  </si>
  <si>
    <t xml:space="preserve">Aromat Nachfuellbeutel   </t>
  </si>
  <si>
    <t xml:space="preserve">Aromat Streuer   </t>
  </si>
  <si>
    <t xml:space="preserve">Aromat Universal   </t>
  </si>
  <si>
    <t xml:space="preserve">Blumenkohl-Broccoli Suppe   </t>
  </si>
  <si>
    <t>Bratensauce extra 3er</t>
  </si>
  <si>
    <t xml:space="preserve">Champignoncremesuppe   </t>
  </si>
  <si>
    <t xml:space="preserve">Croutinos mit Paprika   </t>
  </si>
  <si>
    <t xml:space="preserve">Croutinos mit Zwiebeln   </t>
  </si>
  <si>
    <t xml:space="preserve">Croutinos Walnuss Soja   </t>
  </si>
  <si>
    <t xml:space="preserve">Curry Sauce   </t>
  </si>
  <si>
    <t>19 Pakete</t>
  </si>
  <si>
    <t>Feinschmecker 3 Pfeffer Soße</t>
  </si>
  <si>
    <t>23 Beutel</t>
  </si>
  <si>
    <t xml:space="preserve">Feinschmecker Kartoffel Creme Fraiche Suppe  </t>
  </si>
  <si>
    <t xml:space="preserve">Fix fuer Brathaehnchen   </t>
  </si>
  <si>
    <t>29 Gramm</t>
  </si>
  <si>
    <t>28 Beutel</t>
  </si>
  <si>
    <t>Fix fuer Chili Con Carne 38g</t>
  </si>
  <si>
    <t>Fix fuer Currywurst 36g</t>
  </si>
  <si>
    <t xml:space="preserve">Fix fuer Geschnetzeltes Zuericher Art   </t>
  </si>
  <si>
    <t xml:space="preserve">Fix fuer Gulasch   </t>
  </si>
  <si>
    <t xml:space="preserve">Fix fuer Hackbraten   </t>
  </si>
  <si>
    <t>78 Gramm</t>
  </si>
  <si>
    <t xml:space="preserve">Fix fuer Hackfleisch Jaeger Art   </t>
  </si>
  <si>
    <t>Fix fuer Jaegerschnitzel 50g</t>
  </si>
  <si>
    <t xml:space="preserve">Fix fuer Kartoffelgratin   </t>
  </si>
  <si>
    <t xml:space="preserve">Fix fuer Lachs-Sahne-Gratin   </t>
  </si>
  <si>
    <t>Fix fuer Nudel Broccoli Auflauf 50g</t>
  </si>
  <si>
    <t>Fix fuer Paprika Gulasch 52g</t>
  </si>
  <si>
    <t>Fix fuer Paprika-Rahm Schnitzel 43g</t>
  </si>
  <si>
    <t xml:space="preserve">Fix fuer Ratatouille   </t>
  </si>
  <si>
    <t xml:space="preserve">Fix fuer Rouladen   </t>
  </si>
  <si>
    <t>34 Gramm</t>
  </si>
  <si>
    <t xml:space="preserve">Fix fuer Schweinebraten   </t>
  </si>
  <si>
    <t xml:space="preserve">Fix fuer Spaghetti ala Cabonara   </t>
  </si>
  <si>
    <t xml:space="preserve">Fix fuer Spaghetti Bolognese   </t>
  </si>
  <si>
    <t xml:space="preserve">Fix fuer Spaghetti Napoli   </t>
  </si>
  <si>
    <t xml:space="preserve">Fix fuer Wiener Schnitzel   </t>
  </si>
  <si>
    <t xml:space="preserve">Fix fuer Zucchini Pfanne   </t>
  </si>
  <si>
    <t xml:space="preserve">Fix Lachs auf Blattspinat   </t>
  </si>
  <si>
    <t xml:space="preserve">Fix Rahm-Champignons   </t>
  </si>
  <si>
    <t xml:space="preserve">Fruehlingssuppe   </t>
  </si>
  <si>
    <t xml:space="preserve">FSM Champignon Sauce   </t>
  </si>
  <si>
    <t xml:space="preserve">FSM Hollandaise Sauce   </t>
  </si>
  <si>
    <t xml:space="preserve">FSM Pfifferlingcremesuppe   </t>
  </si>
  <si>
    <t xml:space="preserve">FSM Rahmbratensauce   </t>
  </si>
  <si>
    <t xml:space="preserve">FSM Rindfleischsuppe mit Hackbaellen   </t>
  </si>
  <si>
    <t>FSM Spargel Suppe f. 0,5l</t>
  </si>
  <si>
    <t xml:space="preserve">FSM Tomatensuppe mit Reis   </t>
  </si>
  <si>
    <t xml:space="preserve">FSM Waldpilzsuppe   </t>
  </si>
  <si>
    <t xml:space="preserve">FSM Zwiebelsuppe   </t>
  </si>
  <si>
    <t xml:space="preserve">Gartenkraeuter   </t>
  </si>
  <si>
    <t>Gemuesebouillon fuer 6L</t>
  </si>
  <si>
    <t>Helle Sauce für 3 x 250 ml</t>
  </si>
  <si>
    <t>84 Gramm</t>
  </si>
  <si>
    <t>Huehnerkraftbouillon fuer 4L</t>
  </si>
  <si>
    <t xml:space="preserve">Huehnersuppe mit Nudeln   </t>
  </si>
  <si>
    <t xml:space="preserve">Italienische Kraeuter   </t>
  </si>
  <si>
    <t xml:space="preserve">Jaegersauce   </t>
  </si>
  <si>
    <t>Jaegersauce 2er</t>
  </si>
  <si>
    <t>Jaegersauce 3er</t>
  </si>
  <si>
    <t>Klare Delikatessbruehe Instant 7,2l</t>
  </si>
  <si>
    <t>144 Gramm</t>
  </si>
  <si>
    <t>Rahmsauce Fleisch 2er</t>
  </si>
  <si>
    <t>Rahmsauce Fleisch 3er</t>
  </si>
  <si>
    <t xml:space="preserve">Rinder-Kraftbouillon   </t>
  </si>
  <si>
    <t>Rindsbouillon fuer 6L</t>
  </si>
  <si>
    <t>Salatkroenung 7-Kraeuter 5er</t>
  </si>
  <si>
    <t>Salatkroenung Dill-Kraeuter 5er</t>
  </si>
  <si>
    <t>Salatkroenung franzoesische Art 5er</t>
  </si>
  <si>
    <t xml:space="preserve">Salatkroenung Gartenkraeuter   </t>
  </si>
  <si>
    <t>Salatkroenung italienische Art 5er</t>
  </si>
  <si>
    <t>Salatkroenung Kuechenkraeuter 5er</t>
  </si>
  <si>
    <t>Salatkroenung Paprika-Kraeuter 5er</t>
  </si>
  <si>
    <t>Salatkroenung Zwiebelkraeuter 5er</t>
  </si>
  <si>
    <t>Salatkrönung Gartenkraeuter 5er</t>
  </si>
  <si>
    <t>Sosse Hollandaise 3er</t>
  </si>
  <si>
    <t xml:space="preserve">Spaghetti Kaesesauce   </t>
  </si>
  <si>
    <t xml:space="preserve">Spaghetti Parmesan   </t>
  </si>
  <si>
    <t>163 Gramm</t>
  </si>
  <si>
    <t xml:space="preserve">Spaghetti Tomaten-Kaese-Sauce   </t>
  </si>
  <si>
    <t>Suppenliebe Tomatensuppe 3 Teller</t>
  </si>
  <si>
    <t xml:space="preserve">Tomate Agusto Basiliko   </t>
  </si>
  <si>
    <t xml:space="preserve">Tomate Al Gusto Kraeuter   </t>
  </si>
  <si>
    <t xml:space="preserve">Tomatensuppe Toscana   </t>
  </si>
  <si>
    <t>5 Min Terrine Kartoffelbrei Roestzwiebel</t>
  </si>
  <si>
    <t>56 Gramm</t>
  </si>
  <si>
    <t>5 Minuten Brei mit Creme fraiche</t>
  </si>
  <si>
    <t>53 Gramm</t>
  </si>
  <si>
    <t>5 Minuten Nudeln mit Champignons</t>
  </si>
  <si>
    <t>5 Minuten Terrine Hühner/Nudeltopf</t>
  </si>
  <si>
    <t>41 Gramm</t>
  </si>
  <si>
    <t>5 Minuten Terrine Karrtoffelbrei</t>
  </si>
  <si>
    <t>46 Gramm</t>
  </si>
  <si>
    <t>5 Minuten Terrine Nudeln in Rahmsauce</t>
  </si>
  <si>
    <t>61 Gramm</t>
  </si>
  <si>
    <t>5 Minuten Terrine Nudeln mit Gulasch</t>
  </si>
  <si>
    <t>5 Minuten Terrine Tomate/Mozzarelle</t>
  </si>
  <si>
    <t>55 Gramm</t>
  </si>
  <si>
    <t xml:space="preserve">Blumenkohl-Brokkolisuppe   </t>
  </si>
  <si>
    <t>Bratensaft 4x0,25l</t>
  </si>
  <si>
    <t>Bruehwuerfel 10er</t>
  </si>
  <si>
    <t xml:space="preserve">Buchstabensuppe   </t>
  </si>
  <si>
    <t>Curry Sauce 2 x 025 ltr.</t>
  </si>
  <si>
    <t>Delikatesssauce zum Braten 3x0,25</t>
  </si>
  <si>
    <t>Eiermuschelsuppe 4 Teller</t>
  </si>
  <si>
    <t xml:space="preserve">Fix Bologneser Gratin   </t>
  </si>
  <si>
    <t xml:space="preserve">Fix Chinapfanne Chop Suey   </t>
  </si>
  <si>
    <t xml:space="preserve">Fix fuer Brokkoligratin   </t>
  </si>
  <si>
    <t xml:space="preserve">Fix fuer Chili Con Carne   </t>
  </si>
  <si>
    <t>42 Beutel</t>
  </si>
  <si>
    <t>44 Gramm</t>
  </si>
  <si>
    <t>37 Beutel</t>
  </si>
  <si>
    <t xml:space="preserve">Fix fuer Gyros   </t>
  </si>
  <si>
    <t xml:space="preserve">Fix fuer Jaegertopf </t>
  </si>
  <si>
    <t xml:space="preserve">Fix fuer Jaegertopf Hubertus   </t>
  </si>
  <si>
    <t>35 Beutel</t>
  </si>
  <si>
    <t xml:space="preserve">Fix fuer Lachsgratin   </t>
  </si>
  <si>
    <t xml:space="preserve">Fix fuer Lasagne   </t>
  </si>
  <si>
    <t>39 Beutel</t>
  </si>
  <si>
    <t xml:space="preserve">Fix fuer Paprika-Sahne-Haehnchen   </t>
  </si>
  <si>
    <t xml:space="preserve">Fix fuer Rahmchampignons   </t>
  </si>
  <si>
    <t xml:space="preserve">Fix fuer Rahmgeschnetzeltes   </t>
  </si>
  <si>
    <t>42 Gramm</t>
  </si>
  <si>
    <t xml:space="preserve">Fix fuer Reis nach Djuvec-Art   </t>
  </si>
  <si>
    <t>19 Beutel</t>
  </si>
  <si>
    <t xml:space="preserve">Fix fuer Roulade   </t>
  </si>
  <si>
    <t>45 Beutel</t>
  </si>
  <si>
    <t xml:space="preserve">Fix fuer Sauerbraten   </t>
  </si>
  <si>
    <t xml:space="preserve">Fix fuer Schinken-Nudel Gratin   </t>
  </si>
  <si>
    <t xml:space="preserve">Fix fuer Spaghetti Carbonara   </t>
  </si>
  <si>
    <t xml:space="preserve">Fix fuer Tomate Zucchini Gratin   </t>
  </si>
  <si>
    <t xml:space="preserve">Fix fuer Zuericher Geschnetzeltes   </t>
  </si>
  <si>
    <t>31 Beutel</t>
  </si>
  <si>
    <t xml:space="preserve">Fix fuer Zwiebel-Sahne-Haehnchen   </t>
  </si>
  <si>
    <t xml:space="preserve">Fondor   </t>
  </si>
  <si>
    <t xml:space="preserve">Fondor Nachfuellbeutel   </t>
  </si>
  <si>
    <t xml:space="preserve">Fondor Streuer   </t>
  </si>
  <si>
    <t xml:space="preserve">Fondor Universal-Wuerzmittel   </t>
  </si>
  <si>
    <t>900 Gramm</t>
  </si>
  <si>
    <t>Fruehlingssuppe 4 Teller</t>
  </si>
  <si>
    <t xml:space="preserve">Gekoernte Bruehe   </t>
  </si>
  <si>
    <t xml:space="preserve">Gekoernte Bruehe extra fein   </t>
  </si>
  <si>
    <t>Helle sauce 3x0,25l</t>
  </si>
  <si>
    <t>Huehnersuppe 4Teller</t>
  </si>
  <si>
    <t xml:space="preserve">Jaegersauce Doppelpack   </t>
  </si>
  <si>
    <t xml:space="preserve">Klare Bruehe Instant   </t>
  </si>
  <si>
    <t xml:space="preserve">Klare Fleischsuppe   </t>
  </si>
  <si>
    <t xml:space="preserve">Klare Gemuesebruehe (Pakete)   </t>
  </si>
  <si>
    <t>Klare Gemuesebruehe fuer 18 L</t>
  </si>
  <si>
    <t xml:space="preserve">Klare Gemuesebruehe Instant   </t>
  </si>
  <si>
    <t>119 Gramm</t>
  </si>
  <si>
    <t xml:space="preserve">Klare Hühnersuppe instant   </t>
  </si>
  <si>
    <t>92 Gramm</t>
  </si>
  <si>
    <t>24.6 Gramm</t>
  </si>
  <si>
    <t>Kraeutersauce 2x0,25ltr</t>
  </si>
  <si>
    <t xml:space="preserve">Magic Asia gebratene Nudeln mit Huhn   </t>
  </si>
  <si>
    <t>121 Gramm</t>
  </si>
  <si>
    <t xml:space="preserve">Meisterklasse Champignon Creme Suppe   </t>
  </si>
  <si>
    <t xml:space="preserve">Meisterklasse Fleischkloesschen   </t>
  </si>
  <si>
    <t xml:space="preserve">Meisterklasse Griesskloesschensuppe   </t>
  </si>
  <si>
    <t>22 Pakete</t>
  </si>
  <si>
    <t xml:space="preserve">Meisterklasse Lauchcremesuppe   </t>
  </si>
  <si>
    <t>13 Pakete</t>
  </si>
  <si>
    <t>Meisterklasse Rindfleischsuppe 3 teller</t>
  </si>
  <si>
    <t>Meisterklasse Sauce Hollandaise f. 250ml</t>
  </si>
  <si>
    <t>Meisterklasse Spargelcremesupppe 2Teller</t>
  </si>
  <si>
    <t xml:space="preserve">Meisterklasse Tomatensuppe mit Reis   </t>
  </si>
  <si>
    <t xml:space="preserve">Meisterklasse Zwiebelsuppe   </t>
  </si>
  <si>
    <t xml:space="preserve">MKL Waldpilzcremesuppe   </t>
  </si>
  <si>
    <t xml:space="preserve">Pfefferrahm-Sauce   </t>
  </si>
  <si>
    <t>Pfeffersauce 2x0,25ltr</t>
  </si>
  <si>
    <t>Rahmsauce zum Braten 2x0,25ltr</t>
  </si>
  <si>
    <t xml:space="preserve">Ravioli in pikanter Sauce   </t>
  </si>
  <si>
    <t>830 Milliliter</t>
  </si>
  <si>
    <t>Rindfleischsuppe 4Teller</t>
  </si>
  <si>
    <t xml:space="preserve">Rindsbouillon Instant   </t>
  </si>
  <si>
    <t>Sauce zum Braten 3er</t>
  </si>
  <si>
    <t>Sauce zum Gefluegel 2x0,25ltr</t>
  </si>
  <si>
    <t>Sauce zum Gulasch 2x0,25ltr</t>
  </si>
  <si>
    <t>Sauce zum Hackbraten 2x0,25</t>
  </si>
  <si>
    <t>Sauce zum Rinderbraten 2x0,25ltr</t>
  </si>
  <si>
    <t>Sauce zum Schweinebraten 2x0,25 l.</t>
  </si>
  <si>
    <t xml:space="preserve">Texicana Salsa   </t>
  </si>
  <si>
    <t>Tomatensauce 2x0,25ltr</t>
  </si>
  <si>
    <t xml:space="preserve">Wuerze   </t>
  </si>
  <si>
    <t>Wuerzmischung No.1 gebratenes Fleisch</t>
  </si>
  <si>
    <t>Wuerzmischung No.2 helles Gemuese</t>
  </si>
  <si>
    <t>Wuerzmischung No.3 pikantes Geflügel</t>
  </si>
  <si>
    <t>65 Gramm</t>
  </si>
  <si>
    <t>Wuerzmischung No.4 knackige Salate</t>
  </si>
  <si>
    <t>Wuerzmischung No.5 Hackfleisch</t>
  </si>
  <si>
    <t>MONDAMIN</t>
  </si>
  <si>
    <t xml:space="preserve">Fix Saucenbinder dunkel   </t>
  </si>
  <si>
    <t xml:space="preserve">Fix Saucenbinder hell   </t>
  </si>
  <si>
    <t>ORO DI PARMA</t>
  </si>
  <si>
    <t xml:space="preserve">Pizzasauce Pikant   </t>
  </si>
  <si>
    <t>UNCLE BENS</t>
  </si>
  <si>
    <t xml:space="preserve">Fix fuer Fleisch Chinesisch suess-sauer   </t>
  </si>
  <si>
    <t>UNOX</t>
  </si>
  <si>
    <t>Heisse Tasse Tomaten-Creme 4er</t>
  </si>
  <si>
    <t>Gewürze</t>
  </si>
  <si>
    <t xml:space="preserve">Garam Masala   </t>
  </si>
  <si>
    <t xml:space="preserve">Kapern, Capotes (mittel), in Salzwasser   </t>
  </si>
  <si>
    <t>700 Gramm</t>
  </si>
  <si>
    <t>ADRIA</t>
  </si>
  <si>
    <t xml:space="preserve">Pfeffer gruen ganz in Lake   </t>
  </si>
  <si>
    <t xml:space="preserve">Ajolix Knoblauchzehen in Chili   </t>
  </si>
  <si>
    <t xml:space="preserve">Gruener Pfeffer   </t>
  </si>
  <si>
    <t>106 Milliliter</t>
  </si>
  <si>
    <t xml:space="preserve">Kapern   </t>
  </si>
  <si>
    <t>FUCHS</t>
  </si>
  <si>
    <t>Stangenzimt 10cm</t>
  </si>
  <si>
    <t xml:space="preserve">Roestzwiebeln   </t>
  </si>
  <si>
    <t>OSTMANN</t>
  </si>
  <si>
    <t xml:space="preserve">Anis ganz   </t>
  </si>
  <si>
    <t>Bourbon Vanille 1 Schote</t>
  </si>
  <si>
    <t xml:space="preserve">Brathaehnchengewuerzsalz NF-Beutel   </t>
  </si>
  <si>
    <t xml:space="preserve">Bratkartoffel-Wuerzer, Dekor-Box   </t>
  </si>
  <si>
    <t>3 Dosen</t>
  </si>
  <si>
    <t>4 Dosen</t>
  </si>
  <si>
    <t xml:space="preserve">Bunter Pfeffer Gewuerzmischung   </t>
  </si>
  <si>
    <t xml:space="preserve">Curry-Pulver   </t>
  </si>
  <si>
    <t xml:space="preserve">Glas-Mühle Chili Salz   </t>
  </si>
  <si>
    <t>3 Gläser</t>
  </si>
  <si>
    <t xml:space="preserve">Glas-Mühle Peffer Mix   </t>
  </si>
  <si>
    <t xml:space="preserve">Glas-Mühle Peffer schwarz ganz   </t>
  </si>
  <si>
    <t xml:space="preserve">Hirschhornsalz   </t>
  </si>
  <si>
    <t xml:space="preserve">Ingwer gemahlen NF-Beutel   </t>
  </si>
  <si>
    <t xml:space="preserve">Lorbeerblaetter   </t>
  </si>
  <si>
    <t>5 Gramm</t>
  </si>
  <si>
    <t xml:space="preserve">Paprika Edelsuess NF-Beutel   </t>
  </si>
  <si>
    <t xml:space="preserve">Paprika scharf, Nachfuellbeutel   </t>
  </si>
  <si>
    <t xml:space="preserve">Petersilie gerebelt   </t>
  </si>
  <si>
    <t>15 Gramm</t>
  </si>
  <si>
    <t xml:space="preserve">Pfeffer schwarz, gemahlen, NF-Beutel   </t>
  </si>
  <si>
    <t xml:space="preserve">Pfeffer weiß, gemahlen, NF-Beutel   </t>
  </si>
  <si>
    <t xml:space="preserve">Schmuchdose Cayenne Pfeffer gemahlen   </t>
  </si>
  <si>
    <t xml:space="preserve">Schmuckd.Pfeffer schw./weiss, geschrotet   </t>
  </si>
  <si>
    <t xml:space="preserve">Schmuckdose Bärlauch Salz   </t>
  </si>
  <si>
    <t xml:space="preserve">Schmuckdose Basilikum gerebelt   </t>
  </si>
  <si>
    <t>12.5 Gramm</t>
  </si>
  <si>
    <t xml:space="preserve">Schmuckdose Bohnenkraut gerebelt   </t>
  </si>
  <si>
    <t xml:space="preserve">Schmuckdose Brathaehnchen Gewuerzsalz   </t>
  </si>
  <si>
    <t xml:space="preserve">Schmuckdose Bratkartoffel Würzer medit.   </t>
  </si>
  <si>
    <t xml:space="preserve">Schmuckdose Chilipulver   </t>
  </si>
  <si>
    <t xml:space="preserve">Schmuckdose Chinagewuerzzubereitung   </t>
  </si>
  <si>
    <t xml:space="preserve">Schmuckdose Currypulver   </t>
  </si>
  <si>
    <t xml:space="preserve">Schmuckdose Dillspitzen   </t>
  </si>
  <si>
    <t xml:space="preserve">Schmuckdose Estragonblaetter geschnitten   </t>
  </si>
  <si>
    <t>9 Gramm</t>
  </si>
  <si>
    <t xml:space="preserve">Schmuckdose Fleischzartmacher   </t>
  </si>
  <si>
    <t xml:space="preserve">Schmuckdose Ingwer gemahlen   </t>
  </si>
  <si>
    <t xml:space="preserve">Schmuckdose Kerbel gerebelt   </t>
  </si>
  <si>
    <t>8 Gramm</t>
  </si>
  <si>
    <t xml:space="preserve">Schmuckdose Knoblauch granuliert   </t>
  </si>
  <si>
    <t xml:space="preserve">Schmuckdose Koriander gemahlen   </t>
  </si>
  <si>
    <t xml:space="preserve">Schmuckdose Kraeuter de Provence   </t>
  </si>
  <si>
    <t xml:space="preserve">Schmuckdose Kraeutermischung Italia   </t>
  </si>
  <si>
    <t xml:space="preserve">Schmuckdose Kraeutersalz   </t>
  </si>
  <si>
    <t xml:space="preserve">Schmuckdose Kuemmel ganz   </t>
  </si>
  <si>
    <t xml:space="preserve">Schmuckdose Kuemmel gemahlen   </t>
  </si>
  <si>
    <t xml:space="preserve">Schmuckdose Majoran gerebelt   </t>
  </si>
  <si>
    <t>7.5 Gramm</t>
  </si>
  <si>
    <t xml:space="preserve">Schmuckdose Muskatnuss gemahlen   </t>
  </si>
  <si>
    <t xml:space="preserve">Schmuckdose Nelken ganz   </t>
  </si>
  <si>
    <t xml:space="preserve">Schmuckdose Oregano gerebelt   </t>
  </si>
  <si>
    <t xml:space="preserve">Schmuckdose Paprika edelsuess   </t>
  </si>
  <si>
    <t xml:space="preserve">Schmuckdose Paprika scharf   </t>
  </si>
  <si>
    <t xml:space="preserve">Schmuckdose Pfeffer schwarz ganz   </t>
  </si>
  <si>
    <t xml:space="preserve">Schmuckdose Pfeffer schwarz gemahlen   </t>
  </si>
  <si>
    <t xml:space="preserve">Schmuckdose Pfeffer weiss gemahlen   </t>
  </si>
  <si>
    <t>45 Gramm</t>
  </si>
  <si>
    <t xml:space="preserve">Schmuckdose Pizzagewuerz Italia   </t>
  </si>
  <si>
    <t xml:space="preserve">Schmuckdose Pommes Frites Würzer   </t>
  </si>
  <si>
    <t xml:space="preserve">Schmuckdose Rosmarin geschnitten   </t>
  </si>
  <si>
    <t>20 Gramm</t>
  </si>
  <si>
    <t xml:space="preserve">Schmuckdose Salat-Wuerzmischung   </t>
  </si>
  <si>
    <t xml:space="preserve">Schmuckdose Selleriesalz   </t>
  </si>
  <si>
    <t xml:space="preserve">Schmuckdose Steak- &amp; Grillwuerzmischung   </t>
  </si>
  <si>
    <t xml:space="preserve">Schmuckdose Thymian gerebelt   </t>
  </si>
  <si>
    <t xml:space="preserve">Schmuckdose Wacholderbeeren   </t>
  </si>
  <si>
    <t xml:space="preserve">Schmuckdose Zimt gemahlen   </t>
  </si>
  <si>
    <t xml:space="preserve">Schmuckdose Zwiebeln granuliert   </t>
  </si>
  <si>
    <t xml:space="preserve">Schmuckdose Zwiebelsalz   </t>
  </si>
  <si>
    <t xml:space="preserve">Sülzenpulver   </t>
  </si>
  <si>
    <t>Zimtstangen 4er</t>
  </si>
  <si>
    <t>STAESZ</t>
  </si>
  <si>
    <t xml:space="preserve">Pfefferkuchengewürz   </t>
  </si>
  <si>
    <t>UBENA</t>
  </si>
  <si>
    <t xml:space="preserve">Currypulver Madras   </t>
  </si>
  <si>
    <t xml:space="preserve">Kraeuterbuttergewuerz   </t>
  </si>
  <si>
    <t>Mayo</t>
  </si>
  <si>
    <t>HOMANN</t>
  </si>
  <si>
    <t xml:space="preserve">Pommes Frites Creme   </t>
  </si>
  <si>
    <t>450 Milliliter</t>
  </si>
  <si>
    <t>KRAFT</t>
  </si>
  <si>
    <t xml:space="preserve">Miracel Whip   </t>
  </si>
  <si>
    <t xml:space="preserve">Miracel Whip Balance   </t>
  </si>
  <si>
    <t xml:space="preserve">Delikatess Mayonaise   </t>
  </si>
  <si>
    <t>Meerrettich</t>
  </si>
  <si>
    <t xml:space="preserve">Tafelmeerrettich   </t>
  </si>
  <si>
    <t>KOCHS</t>
  </si>
  <si>
    <t xml:space="preserve">Sahnemeerrettich   </t>
  </si>
  <si>
    <t>1 Tube</t>
  </si>
  <si>
    <t>Tafelmeerrettich scharf, 700 gr</t>
  </si>
  <si>
    <t xml:space="preserve">Meerrettich   </t>
  </si>
  <si>
    <t>15 Tuben</t>
  </si>
  <si>
    <t>Würzsoßen</t>
  </si>
  <si>
    <t xml:space="preserve">Pizzasauce gewuerzt   </t>
  </si>
  <si>
    <t>4250 Milliliter</t>
  </si>
  <si>
    <t xml:space="preserve">Saucen Liebe Roasted Aioli Sauce   </t>
  </si>
  <si>
    <t>300 Milliliter</t>
  </si>
  <si>
    <t xml:space="preserve">Zitronensaft Sizilia Plus   </t>
  </si>
  <si>
    <t>24 Flaschen</t>
  </si>
  <si>
    <t>APPEL</t>
  </si>
  <si>
    <t xml:space="preserve">Worcestersauce   </t>
  </si>
  <si>
    <t>140 Milliliter</t>
  </si>
  <si>
    <t>BARILLA</t>
  </si>
  <si>
    <t xml:space="preserve">Pesto Calabrese   </t>
  </si>
  <si>
    <t xml:space="preserve">Pesto Genovese   </t>
  </si>
  <si>
    <t xml:space="preserve">Pesto Rosso   </t>
  </si>
  <si>
    <t xml:space="preserve">Sauce Arrabiata   </t>
  </si>
  <si>
    <t xml:space="preserve">Sauce Basilico   </t>
  </si>
  <si>
    <t xml:space="preserve">Sauce Bolognese   </t>
  </si>
  <si>
    <t xml:space="preserve">Sauce Pomodori e Ricotta   </t>
  </si>
  <si>
    <t>BAUTZNER</t>
  </si>
  <si>
    <t>Senf mittelscharf</t>
  </si>
  <si>
    <t>0.25 Liter</t>
  </si>
  <si>
    <t>BONASIA</t>
  </si>
  <si>
    <t xml:space="preserve">Sambal Olek   </t>
  </si>
  <si>
    <t>DEVELEY</t>
  </si>
  <si>
    <t xml:space="preserve">bayrischer Weisswurstsenf   </t>
  </si>
  <si>
    <t xml:space="preserve">Bio Zitronello   </t>
  </si>
  <si>
    <t xml:space="preserve">French Dressing   </t>
  </si>
  <si>
    <t xml:space="preserve">Joghurt Dressing   </t>
  </si>
  <si>
    <t xml:space="preserve">Knoblauchsauce   </t>
  </si>
  <si>
    <t xml:space="preserve">Kraeuter Dressing   </t>
  </si>
  <si>
    <t xml:space="preserve">Nudelsosse Bolognese   </t>
  </si>
  <si>
    <t xml:space="preserve">Nudelsosse Napoli   </t>
  </si>
  <si>
    <t xml:space="preserve">Paprikasauce   </t>
  </si>
  <si>
    <t xml:space="preserve">Salsa-Sauce   </t>
  </si>
  <si>
    <t xml:space="preserve">Sauce Schaschlik pikant   </t>
  </si>
  <si>
    <t xml:space="preserve">Senf mittelscharf   </t>
  </si>
  <si>
    <t xml:space="preserve">Senf mittelscharf im Glas   </t>
  </si>
  <si>
    <t>18 Gläser</t>
  </si>
  <si>
    <t>HEINZ</t>
  </si>
  <si>
    <t xml:space="preserve">BBQ Sauce   </t>
  </si>
  <si>
    <t xml:space="preserve">Oro di Parma Tomatenmark   </t>
  </si>
  <si>
    <t>HITCHCOCK</t>
  </si>
  <si>
    <t>KIKKOMAN</t>
  </si>
  <si>
    <t xml:space="preserve">Sojasauce   </t>
  </si>
  <si>
    <t>150 Milliliter</t>
  </si>
  <si>
    <t>Paprika Sauce - Ungarische Art</t>
  </si>
  <si>
    <t xml:space="preserve">Schlemmer Chilisauce   </t>
  </si>
  <si>
    <t xml:space="preserve">Schlemmer Cocktailsauce   </t>
  </si>
  <si>
    <t xml:space="preserve">Schlemmer Curry Sauce   </t>
  </si>
  <si>
    <t xml:space="preserve">Schlemmer Knoblauchsauce   </t>
  </si>
  <si>
    <t xml:space="preserve">Schlemmer Schaschlicksauce   </t>
  </si>
  <si>
    <t xml:space="preserve">Schlemmer Steak Sauce   </t>
  </si>
  <si>
    <t xml:space="preserve">Fertigsauce fuer Kartoffelsalat   </t>
  </si>
  <si>
    <t xml:space="preserve">Knoblauch-Sauce   </t>
  </si>
  <si>
    <t xml:space="preserve">Mexico Sauce   </t>
  </si>
  <si>
    <t xml:space="preserve">Salatfix American   </t>
  </si>
  <si>
    <t>7 Gläser</t>
  </si>
  <si>
    <t xml:space="preserve">Salatfix American Caesar   </t>
  </si>
  <si>
    <t xml:space="preserve">Salatfix French   </t>
  </si>
  <si>
    <t xml:space="preserve">Salatfix Gartenkraeuter   </t>
  </si>
  <si>
    <t xml:space="preserve">Salatfix Joghurt-Kraeuter   </t>
  </si>
  <si>
    <t xml:space="preserve">Salatfix Kraeuter   </t>
  </si>
  <si>
    <t xml:space="preserve">Salatfix mit Creme Fraiche   </t>
  </si>
  <si>
    <t xml:space="preserve">Salatfix Thousand Islands   </t>
  </si>
  <si>
    <t xml:space="preserve">Schaschlik-Sauce   </t>
  </si>
  <si>
    <t xml:space="preserve">Senf mittel   </t>
  </si>
  <si>
    <t xml:space="preserve">Steak Sauce   </t>
  </si>
  <si>
    <t>LE GARCON</t>
  </si>
  <si>
    <t xml:space="preserve">Geflügelfond   </t>
  </si>
  <si>
    <t xml:space="preserve">Gemüsefond   </t>
  </si>
  <si>
    <t xml:space="preserve">Kalbs-Fond   </t>
  </si>
  <si>
    <t xml:space="preserve">Rinder-Fond   </t>
  </si>
  <si>
    <t>LOEWENSENF</t>
  </si>
  <si>
    <t xml:space="preserve">Extra stark   </t>
  </si>
  <si>
    <t>20 Tuben</t>
  </si>
  <si>
    <t xml:space="preserve">Medium   </t>
  </si>
  <si>
    <t>MAE KRUA</t>
  </si>
  <si>
    <t xml:space="preserve">Oystersauce   </t>
  </si>
  <si>
    <t xml:space="preserve">Original Wuerze Vorratsflasche   </t>
  </si>
  <si>
    <t>MAILLE</t>
  </si>
  <si>
    <t xml:space="preserve">Dijon Senf Original   </t>
  </si>
  <si>
    <t>MC ILLHENNY</t>
  </si>
  <si>
    <t xml:space="preserve">Tabasco Jalapeno   </t>
  </si>
  <si>
    <t>60 Milliliter</t>
  </si>
  <si>
    <t xml:space="preserve">Tabasco Rot   </t>
  </si>
  <si>
    <t>57 Milliliter</t>
  </si>
  <si>
    <t>POCO LOCO</t>
  </si>
  <si>
    <t xml:space="preserve">Dip Hot Cheese   </t>
  </si>
  <si>
    <t xml:space="preserve">DipSalsa Medium   </t>
  </si>
  <si>
    <t>RAJAH</t>
  </si>
  <si>
    <t xml:space="preserve">Mango Chutney suess   </t>
  </si>
  <si>
    <t xml:space="preserve">Delikatess Senf medium   </t>
  </si>
  <si>
    <t xml:space="preserve">Delikatess-Senf mittelscharf   </t>
  </si>
  <si>
    <t xml:space="preserve">Les Sauce Bechamel Tetrapak   </t>
  </si>
  <si>
    <t>12 Tetrapacks</t>
  </si>
  <si>
    <t>1 Tetrapack</t>
  </si>
  <si>
    <t xml:space="preserve">Les Sauce Hollandaise Tetrapak   </t>
  </si>
  <si>
    <t xml:space="preserve">Les Sauce Pfannen-Sahne   </t>
  </si>
  <si>
    <t xml:space="preserve">Les Sauces Bernaise Tetrapack   </t>
  </si>
  <si>
    <t xml:space="preserve">Sauce Gefluegel-Sahne   </t>
  </si>
  <si>
    <t xml:space="preserve">Scharfer Senf   </t>
  </si>
  <si>
    <t xml:space="preserve">Senf Delikatess   </t>
  </si>
  <si>
    <t>TONOLI</t>
  </si>
  <si>
    <t xml:space="preserve">Senf mittelscharf im Henkelglas   </t>
  </si>
  <si>
    <t>Ketchup</t>
  </si>
  <si>
    <t>875 Milliliter</t>
  </si>
  <si>
    <t xml:space="preserve">Delikatess Mayonnaise, Kopfstandflasche   </t>
  </si>
  <si>
    <t xml:space="preserve">Salatmayonnaise   </t>
  </si>
  <si>
    <t xml:space="preserve">Curry Ketchup   </t>
  </si>
  <si>
    <t xml:space="preserve">Tomaten Ketchup Kopfstandflasche   </t>
  </si>
  <si>
    <t xml:space="preserve">Tomatenketchup   </t>
  </si>
  <si>
    <t>Tomatenketchup 50% weniger Zucker u.Salz</t>
  </si>
  <si>
    <t>HELA</t>
  </si>
  <si>
    <t xml:space="preserve">Curry Delikatess Ketchup   </t>
  </si>
  <si>
    <t xml:space="preserve">Curry Ketchup Delikatess   </t>
  </si>
  <si>
    <t xml:space="preserve">Curry Ketchup scharf   </t>
  </si>
  <si>
    <t xml:space="preserve">Schaschlikgewuerz Ketchup   </t>
  </si>
  <si>
    <t xml:space="preserve">Tomatengewuerzketchup   </t>
  </si>
  <si>
    <t>417 Milliliter</t>
  </si>
  <si>
    <t xml:space="preserve">Rot/Weiss   </t>
  </si>
  <si>
    <t xml:space="preserve">Salatmayonaise   </t>
  </si>
  <si>
    <t>WERDER</t>
  </si>
  <si>
    <t>ZEISNER</t>
  </si>
  <si>
    <t xml:space="preserve">Curry-Ketchup   </t>
  </si>
  <si>
    <t>Remoulade</t>
  </si>
  <si>
    <t xml:space="preserve">Remoulade, Kopfstandflasche   </t>
  </si>
  <si>
    <t xml:space="preserve">Remoulade   </t>
  </si>
  <si>
    <t>P&amp;W</t>
  </si>
  <si>
    <t xml:space="preserve">Original Daenische Remoulade   </t>
  </si>
  <si>
    <t>255 Gramm</t>
  </si>
  <si>
    <t xml:space="preserve">Gourmet Remoulade   </t>
  </si>
  <si>
    <t>Senf</t>
  </si>
  <si>
    <t>Händlmeier´s süßer Hausmachersenf</t>
  </si>
  <si>
    <t>335 Milliliter</t>
  </si>
  <si>
    <t>Händlmeier´s süßer Hausmachersenf - Squeeze Flasche</t>
  </si>
  <si>
    <t>225 Milliliter</t>
  </si>
  <si>
    <t xml:space="preserve">8 </t>
  </si>
  <si>
    <t>Baby Brei</t>
  </si>
  <si>
    <t>Porrdige Beere  Premium</t>
  </si>
  <si>
    <t>Edeka</t>
  </si>
  <si>
    <t>Porrdige Mehrkorn</t>
  </si>
  <si>
    <t>HIPP</t>
  </si>
  <si>
    <t>5515 Grießbrei pur</t>
  </si>
  <si>
    <t>5516 Abendbrei 7-Korn</t>
  </si>
  <si>
    <t>5525 Haferbrei pur</t>
  </si>
  <si>
    <t>5531 GNB Dinkelgriess</t>
  </si>
  <si>
    <t>5537 GNB 3-Korn-Flocken</t>
  </si>
  <si>
    <t>Bio 3532-02 Kinder Beeren-Muesli</t>
  </si>
  <si>
    <t>Bio 4800 F&amp;G Feiner Obstbrei+Vollkorn</t>
  </si>
  <si>
    <t>Bio 6495-01 Couscous mit Gemüse und Hühnchen</t>
  </si>
  <si>
    <t>Bio Getreidebrei DA30402 100% Reis, glutenfrei</t>
  </si>
  <si>
    <t>Bio Milchbrei Hafer/Apfel 30006</t>
  </si>
  <si>
    <t>MILUPA</t>
  </si>
  <si>
    <t>Milchbrei Grieß 6. Monat</t>
  </si>
  <si>
    <t>Baby Frucht</t>
  </si>
  <si>
    <t>4745 Frucht &amp; Getreide Birne/Dinkel</t>
  </si>
  <si>
    <t>4805 Himbeer/Apfel/Griess</t>
  </si>
  <si>
    <t>5100 Kaiser-Schmarrn/Apfelmuß</t>
  </si>
  <si>
    <t>5400 Erdbeere/Joghurt</t>
  </si>
  <si>
    <t>160 Gramm</t>
  </si>
  <si>
    <t>5410 Fruechte-Joghurt</t>
  </si>
  <si>
    <t>5433 F&amp;J Blaubeer/Apfel</t>
  </si>
  <si>
    <t>Bio 4230 Williams-Christ-Birne</t>
  </si>
  <si>
    <t>Bio 4340-01 Pfirsich/Apfel</t>
  </si>
  <si>
    <t>Bio 4350 Apfel/Banane</t>
  </si>
  <si>
    <t>Bio 4395-02 Pflaume mit Birne</t>
  </si>
  <si>
    <t>Bio 4397-02 Mango/Banane/Apfel</t>
  </si>
  <si>
    <t>Bio 4410 Erdbeer/Himbeer/Apfel</t>
  </si>
  <si>
    <t>Bio 4710-01 F&amp;G Apfel/Banane/Keks</t>
  </si>
  <si>
    <t>Bio 4815-01 Pflaume mit Birne</t>
  </si>
  <si>
    <t>Bio 4816 Mango/Banane/Griess</t>
  </si>
  <si>
    <t>Bio 4860-01 F&amp;G Apfel-Bananen-Muesli</t>
  </si>
  <si>
    <t>Bio 5475-01 Joghurt/Frucht</t>
  </si>
  <si>
    <t>Bio Himbeere in Apfel</t>
  </si>
  <si>
    <t>DA31362 Früchte Freund Zebra Himbeer/Banane/Apfel</t>
  </si>
  <si>
    <t>23 Gramm</t>
  </si>
  <si>
    <t>Früchte-Freund Banane &amp; Kirsche 4x23gr</t>
  </si>
  <si>
    <t>0.92 Gramm</t>
  </si>
  <si>
    <t>Baby Milch</t>
  </si>
  <si>
    <t>Bio 2022 Anfangsmilch 1</t>
  </si>
  <si>
    <t>Bio 2032 Milchnahrung Combiotik 2</t>
  </si>
  <si>
    <t>Bio 2034 Kindermilch Combiotik +1</t>
  </si>
  <si>
    <t>Bio 2047 Folgemilch 2</t>
  </si>
  <si>
    <t>Bio 2078 Folgemilch 3</t>
  </si>
  <si>
    <t>Bio 2079 Kindermilch 12+</t>
  </si>
  <si>
    <t>Bio Milchnahrung 2033 Combiotik 3</t>
  </si>
  <si>
    <t>Bio Milchnahrung Combiotik 1</t>
  </si>
  <si>
    <t>Bio Milchnahrung Pre 2000</t>
  </si>
  <si>
    <t>Bio PRE Combiotik</t>
  </si>
  <si>
    <t>Kindermilch Combiotik 2035  ab 2 Jahre</t>
  </si>
  <si>
    <t>MILUMIL</t>
  </si>
  <si>
    <t>Kindermilch 1</t>
  </si>
  <si>
    <t>550 Gramm</t>
  </si>
  <si>
    <t>Aptamil 1 Pronutra</t>
  </si>
  <si>
    <t>Aptamil 2 Pronutra</t>
  </si>
  <si>
    <t>Aptamil 3</t>
  </si>
  <si>
    <t xml:space="preserve">Aptamil Anfangsmilch Pre Profutura   </t>
  </si>
  <si>
    <t>Aptamil Folgemilch 2 Profutura</t>
  </si>
  <si>
    <t>Aptamil Milchnahrung HA 2</t>
  </si>
  <si>
    <t xml:space="preserve">Aptamil Pre Anfangsmilch Pronutra   </t>
  </si>
  <si>
    <t>Baby Tee &amp; Saft</t>
  </si>
  <si>
    <t>8101 Multifrucht + Vitamin C</t>
  </si>
  <si>
    <t>Bio 2345 Mama Still-Tee  20x1,5g</t>
  </si>
  <si>
    <t>Baby Knabberartikel</t>
  </si>
  <si>
    <t>3557 Knabber Sternchen/Fruechte</t>
  </si>
  <si>
    <t>9 Beutel</t>
  </si>
  <si>
    <t>3564 Hirse-Kringel</t>
  </si>
  <si>
    <t>8520-01 Hippis Apfel/Birne/Banane</t>
  </si>
  <si>
    <t>8521-01 Hippis Erdbeer/Banane/Apfel</t>
  </si>
  <si>
    <t>8525-01 Hippis Waldbeer/Apfel/Pfirsich</t>
  </si>
  <si>
    <t>8527-01 Hippis Kiwi/Birne/Banane</t>
  </si>
  <si>
    <t>8570-01 Hippis Mango/Maracuja/Birne/Apfel</t>
  </si>
  <si>
    <t>Bio 3556-01 Himbeer Reiswaffeln</t>
  </si>
  <si>
    <t>Bio 3566-01 Apfel Reiswaffeln</t>
  </si>
  <si>
    <t xml:space="preserve">Hippis Pfirsich-Banane in Apfel   </t>
  </si>
  <si>
    <t>Baby Gemüse</t>
  </si>
  <si>
    <t>4185-01 Buttergemuese + Kartoffeln</t>
  </si>
  <si>
    <t>6025 Wildlachs mit Gemuese</t>
  </si>
  <si>
    <t>6825-01 Spaghetti + Lachs</t>
  </si>
  <si>
    <t>8660 Nudel/Lachs/Rahmspinat</t>
  </si>
  <si>
    <t>Bio 4010 Gemuese + Fruehkarotten</t>
  </si>
  <si>
    <t>Bio 4070 Gemuese Allerlei</t>
  </si>
  <si>
    <t>Bio 4110 Fruehkarotten + Kartoffeln</t>
  </si>
  <si>
    <t>Bio 4145 Kuerbis / Kartoffel</t>
  </si>
  <si>
    <t>Bio 4170 Pastinaken mit Kartoffeln</t>
  </si>
  <si>
    <t>Bio 5535 GNB Milchreis</t>
  </si>
  <si>
    <t>Bio 6010 Rindfleisch</t>
  </si>
  <si>
    <t>Bio 6020-01 Huehnchen</t>
  </si>
  <si>
    <t>Bio 6200-01 Kartoffel/Pute</t>
  </si>
  <si>
    <t>Bio 6210 Schinkennudeln m.Tomate/Karotte</t>
  </si>
  <si>
    <t>Bio 6230-01Spaghetti Bolognese</t>
  </si>
  <si>
    <t>Bio 6240 Karotten/Kartoffeln/Rind</t>
  </si>
  <si>
    <t>Bio 6250 Gemuese/Reis/Huhn</t>
  </si>
  <si>
    <t>Bio 6275-01 Pasta/Seelachs/Gemuese</t>
  </si>
  <si>
    <t>Bio 6280-01 Karotte/Mais/Kalb</t>
  </si>
  <si>
    <t>Bio 6400-01 Spaghetti/Tomate/Mozzarella</t>
  </si>
  <si>
    <t>Bio 6500 Kartoffeln/Gemuese/Rind</t>
  </si>
  <si>
    <t>Bio 6515 Kartoffeln und mildes Gulasch</t>
  </si>
  <si>
    <t>Bio 6520-01 Spaghetti Bolognese</t>
  </si>
  <si>
    <t>Bio 6530 Reis/Karotte/Pute</t>
  </si>
  <si>
    <t>Bio 6535 Karotte/Reis/Lachs</t>
  </si>
  <si>
    <t>Bio 6700 Rigatoni Napoli</t>
  </si>
  <si>
    <t>Bio 6710 Tagliatelle in Spinat-Käse-Soße</t>
  </si>
  <si>
    <t>Bio 6805 Huehn./Gem/Kart.</t>
  </si>
  <si>
    <t>Bio 6820-01 Spaghetti Bolognese</t>
  </si>
  <si>
    <t>Bio 6850 Gem.Allerlei/Rind</t>
  </si>
  <si>
    <t>Bio 8655-01 Karotten mit Kartoffeln und feinem Wildlachs</t>
  </si>
  <si>
    <t>Bio 8657 Gemüsereis mit Erbsen und zartem Geschnetzelten</t>
  </si>
  <si>
    <t>Bio Pasta 8635 Spaghetti Bolognese</t>
  </si>
  <si>
    <t xml:space="preserve">Bio-Huhn mit Kartoffeln und Gemuese   </t>
  </si>
  <si>
    <t>Bio-Pute mit Gemueserisotto 6800</t>
  </si>
  <si>
    <t>Kon Fisch</t>
  </si>
  <si>
    <t xml:space="preserve">Kieler Sprotten   </t>
  </si>
  <si>
    <t xml:space="preserve">Thunfisch ohne Oel   </t>
  </si>
  <si>
    <t>48 Dosen</t>
  </si>
  <si>
    <t>Thunfisch Stücke in Sonnenblumenöl 1705g</t>
  </si>
  <si>
    <t>1705 Gramm</t>
  </si>
  <si>
    <t xml:space="preserve">Heringsfilet Dill-Kraeutercreme   </t>
  </si>
  <si>
    <t xml:space="preserve">Heringsfilet in Burgunder Creme   </t>
  </si>
  <si>
    <t xml:space="preserve">Heringsfilet Sahne-Meerrettich   </t>
  </si>
  <si>
    <t xml:space="preserve">Heringsfilet Salsa-Picante   </t>
  </si>
  <si>
    <t xml:space="preserve">Heringsfilet Tomate   </t>
  </si>
  <si>
    <t xml:space="preserve">Herringsfilet in Tomaten-Barbeque-Sauce   </t>
  </si>
  <si>
    <t xml:space="preserve">MSC Bratheringe, filetiert   </t>
  </si>
  <si>
    <t>325 Gramm</t>
  </si>
  <si>
    <t>20 Dosen</t>
  </si>
  <si>
    <t xml:space="preserve">MSC Heringsfilets in Paprikacreme   </t>
  </si>
  <si>
    <t xml:space="preserve">MSC Heringsfilets in Pfeffercreme   </t>
  </si>
  <si>
    <t xml:space="preserve">MSC Heringsfilets in Tomatencreme   </t>
  </si>
  <si>
    <t xml:space="preserve">MSC Heringsfilets Wellness Harmonie in Mango/Curry  </t>
  </si>
  <si>
    <t xml:space="preserve">MSC Heringsfilets Wellness Leidenschaft in Chili/Mango  </t>
  </si>
  <si>
    <t xml:space="preserve">Muscheln in Salsasauce   </t>
  </si>
  <si>
    <t>DEUTSCHE SEE</t>
  </si>
  <si>
    <t>MSC Thunfisch in Olivenöl, 185gr</t>
  </si>
  <si>
    <t>0.185 Kilogramm</t>
  </si>
  <si>
    <t>8 DS</t>
  </si>
  <si>
    <t>MSC Thunfisch in Sonnenblumenöl, 185gr</t>
  </si>
  <si>
    <t>MSC Thunfisch in Wasser, 185gr</t>
  </si>
  <si>
    <t xml:space="preserve">Brathering Hausfrauenart oval   </t>
  </si>
  <si>
    <t xml:space="preserve">Bratheringsfilet   </t>
  </si>
  <si>
    <t xml:space="preserve">Heringsfilet in Champignoncreme   </t>
  </si>
  <si>
    <t xml:space="preserve">Heringsfilet in Paprika   </t>
  </si>
  <si>
    <t xml:space="preserve">Heringsfilet in Senfsauce   </t>
  </si>
  <si>
    <t xml:space="preserve">Heringsfilet in Tomatensauce   </t>
  </si>
  <si>
    <t>Makrelen-Mix, Filets mit Gemüse, 125 gr</t>
  </si>
  <si>
    <t xml:space="preserve">MSC Bratheringsfilets Runddose   </t>
  </si>
  <si>
    <t xml:space="preserve">Thunfisch in Oel   </t>
  </si>
  <si>
    <t xml:space="preserve">Thunfisch mit Gemuese   </t>
  </si>
  <si>
    <t>185 Gramm</t>
  </si>
  <si>
    <t>HAWESTA</t>
  </si>
  <si>
    <t xml:space="preserve">Balkan Fruehstueck   </t>
  </si>
  <si>
    <t xml:space="preserve">Bratheringe in Marinade   </t>
  </si>
  <si>
    <t xml:space="preserve">China Fruehstueck   </t>
  </si>
  <si>
    <t xml:space="preserve">Heringsfilets in Pfeffer-Creme   </t>
  </si>
  <si>
    <t xml:space="preserve">Heringsfilets in Senf-Creme   </t>
  </si>
  <si>
    <t>MSC Bratheringsfilets feingewürzte Marinade 325g</t>
  </si>
  <si>
    <t>13 Dosen</t>
  </si>
  <si>
    <t xml:space="preserve">MSC Buecklingsfilet in Saft   </t>
  </si>
  <si>
    <t>Kon Fleisch</t>
  </si>
  <si>
    <t>Cocktail Party Wuerstchen Atg: 300 gr</t>
  </si>
  <si>
    <t xml:space="preserve">Original brasilianischer Corned Beef   </t>
  </si>
  <si>
    <t>BAUERNGUT</t>
  </si>
  <si>
    <t>Bockwurst in Naturdarm 5 St = 400 gr</t>
  </si>
  <si>
    <t>730 Gramm</t>
  </si>
  <si>
    <t xml:space="preserve">Hausmacher Leberwurst   </t>
  </si>
  <si>
    <t xml:space="preserve">Kochmettwurst   </t>
  </si>
  <si>
    <t>BOEKLUNDER</t>
  </si>
  <si>
    <t>Landbockwurst in Eigenhaut 5 St= 250 gr</t>
  </si>
  <si>
    <t>Landbockwurst in Eigenhaut 8 St= 360 gr</t>
  </si>
  <si>
    <t>Wiener Wuerstchen 5 St= 500 gr</t>
  </si>
  <si>
    <t>1030 Gramm</t>
  </si>
  <si>
    <t>DOERFFLER</t>
  </si>
  <si>
    <t>Kleine Doerffler Atg.: 125 gr</t>
  </si>
  <si>
    <t>310 Gramm</t>
  </si>
  <si>
    <t>Stramme Jungs 4 St= 250 gr</t>
  </si>
  <si>
    <t>EXETER</t>
  </si>
  <si>
    <t xml:space="preserve">Corned Beef   </t>
  </si>
  <si>
    <t>Bockwurst in Eigenhaut 8 St= 720 gr</t>
  </si>
  <si>
    <t>Delik. Schinkenwuerstchen 5pc = 250g ATG</t>
  </si>
  <si>
    <t xml:space="preserve">grobe Leberwurst   </t>
  </si>
  <si>
    <t>Saftbockwurst in Eigenhaut 5 St= 250 gr</t>
  </si>
  <si>
    <t>Schinkenbockwurst im Saitling 10 St. = 900g</t>
  </si>
  <si>
    <t>1630 Gramm</t>
  </si>
  <si>
    <t>Wiener Wuerstchen 6 St= 300 gr</t>
  </si>
  <si>
    <t>680 Gramm</t>
  </si>
  <si>
    <t>JENSEN</t>
  </si>
  <si>
    <t>Enten-Leber Pastete</t>
  </si>
  <si>
    <t>6 DS</t>
  </si>
  <si>
    <t xml:space="preserve">Gänsepastete   </t>
  </si>
  <si>
    <t xml:space="preserve">Kalbsleberpastete   </t>
  </si>
  <si>
    <t xml:space="preserve">Luxus Leberpastete   </t>
  </si>
  <si>
    <t>JOLA</t>
  </si>
  <si>
    <t xml:space="preserve">Rindfleisch Goldlack   </t>
  </si>
  <si>
    <t xml:space="preserve">Schmalzfleisch   </t>
  </si>
  <si>
    <t xml:space="preserve">Schweinefleisch im eigenen Saft   </t>
  </si>
  <si>
    <t>LURPACK</t>
  </si>
  <si>
    <t xml:space="preserve">Fruehstuecksflleisch   </t>
  </si>
  <si>
    <t>Deutschlaender 6 St = 330 gr</t>
  </si>
  <si>
    <t>660 Gramm</t>
  </si>
  <si>
    <t>Frankfurter 6 St = 250 gr</t>
  </si>
  <si>
    <t>540 Gramm</t>
  </si>
  <si>
    <t>Gefluegelwuerstchen 6 St = 250 gr</t>
  </si>
  <si>
    <t>Mini-Wini Singles Atg: 260 gr</t>
  </si>
  <si>
    <t>Mini-Winni Kette Atg: 190 gr</t>
  </si>
  <si>
    <t>Rindswürstchen extra zart 6 St = 180 gr</t>
  </si>
  <si>
    <t>Saft-Bockwurst in Eigenhaut 8 St = 540gr</t>
  </si>
  <si>
    <t>Saftwurst in Eigenhaut 6 St = 180 gr</t>
  </si>
  <si>
    <t>Trueman's HotDogs 6+1 St = 350 gr</t>
  </si>
  <si>
    <t>Veg. Wiener Wuerstchen 6 St</t>
  </si>
  <si>
    <t>Wiener Wuerstchen 6 St = 250 gr</t>
  </si>
  <si>
    <t>MUELLERS</t>
  </si>
  <si>
    <t xml:space="preserve">Heidefruehstueck   </t>
  </si>
  <si>
    <t>QUINT</t>
  </si>
  <si>
    <t xml:space="preserve">Delikatess Leberwurst   </t>
  </si>
  <si>
    <t xml:space="preserve">Jagdwurst   </t>
  </si>
  <si>
    <t xml:space="preserve">Schinkenwurst   </t>
  </si>
  <si>
    <t>ROOSE</t>
  </si>
  <si>
    <t>Zevener Klosterwürste 10 St = 680 gr</t>
  </si>
  <si>
    <t>1.44 Kilogramm</t>
  </si>
  <si>
    <t>SAALEGUT</t>
  </si>
  <si>
    <t xml:space="preserve">Leberwurst   </t>
  </si>
  <si>
    <t xml:space="preserve">Suelzwurst   </t>
  </si>
  <si>
    <t xml:space="preserve">Zwiebelwurst   </t>
  </si>
  <si>
    <t xml:space="preserve">Schweinskopfsuelze   </t>
  </si>
  <si>
    <t>SIMON</t>
  </si>
  <si>
    <t xml:space="preserve">Kohlrouladen   </t>
  </si>
  <si>
    <t xml:space="preserve">Rindergulasch   </t>
  </si>
  <si>
    <t xml:space="preserve">Rinderrouladen   </t>
  </si>
  <si>
    <t xml:space="preserve">Rindsgulasch   </t>
  </si>
  <si>
    <t>SPREHE</t>
  </si>
  <si>
    <t>Bockwurst im Saitling 5 St = 250 gr</t>
  </si>
  <si>
    <t>TULIP</t>
  </si>
  <si>
    <t>ZIMMERMANN</t>
  </si>
  <si>
    <t>Original Muenchener Weißwurst 4St=250 gr</t>
  </si>
  <si>
    <t>530 Gramm</t>
  </si>
  <si>
    <t>Kon Obst</t>
  </si>
  <si>
    <t>5-Fruchtcocktail</t>
  </si>
  <si>
    <t>410 Gramm</t>
  </si>
  <si>
    <t xml:space="preserve">Ananas in Stuecken   </t>
  </si>
  <si>
    <t>825 Gramm</t>
  </si>
  <si>
    <t xml:space="preserve">Cocktailkirschen, rot, gezuckert   </t>
  </si>
  <si>
    <t xml:space="preserve">Erdbeeren leicht gezuckert   </t>
  </si>
  <si>
    <t xml:space="preserve">Himbeeren gezuckert   </t>
  </si>
  <si>
    <t>390 Gramm</t>
  </si>
  <si>
    <t xml:space="preserve">Mirabellen mit Stein   </t>
  </si>
  <si>
    <t>Williams-Christ-Birnen 1/2 Frucht</t>
  </si>
  <si>
    <t>820 Gramm</t>
  </si>
  <si>
    <t>DELTA</t>
  </si>
  <si>
    <t xml:space="preserve">Pflaumen halbe Frucht gezuckert   </t>
  </si>
  <si>
    <t>5-Fruchtcocktail leicht gezuckert</t>
  </si>
  <si>
    <t xml:space="preserve">Ananas geraspelt   </t>
  </si>
  <si>
    <t>432 Gramm</t>
  </si>
  <si>
    <t xml:space="preserve">Ananas in Scheiben ohne Zucker   </t>
  </si>
  <si>
    <t xml:space="preserve">Ananas in Stuecken gezuckert   </t>
  </si>
  <si>
    <t>567 Gramm</t>
  </si>
  <si>
    <t xml:space="preserve">Ananas Scheiben gezuckert   </t>
  </si>
  <si>
    <t>836 Gramm</t>
  </si>
  <si>
    <t>570 Gramm</t>
  </si>
  <si>
    <t xml:space="preserve">Apfelmus gezuckert   </t>
  </si>
  <si>
    <t>720 Gramm</t>
  </si>
  <si>
    <t>Aprikose 1/2 Frucht</t>
  </si>
  <si>
    <t>Aprikosen halbe Frucht in Birnensaft ohne Zucker</t>
  </si>
  <si>
    <t xml:space="preserve">Birnen viertel Frucht gezuckert   </t>
  </si>
  <si>
    <t xml:space="preserve">Fruchtcocktail   </t>
  </si>
  <si>
    <t xml:space="preserve">gruene Feigen   </t>
  </si>
  <si>
    <t>415 Gramm</t>
  </si>
  <si>
    <t xml:space="preserve">Lychees ganze Frucht   </t>
  </si>
  <si>
    <t xml:space="preserve">Mandarin-Orangen   </t>
  </si>
  <si>
    <t xml:space="preserve">Mandarinen leicht gezuckert   </t>
  </si>
  <si>
    <t>312 Gramm</t>
  </si>
  <si>
    <t xml:space="preserve">Mangos in Scheiben gezuckert   </t>
  </si>
  <si>
    <t>Pfirsiche 1/2 Frucht</t>
  </si>
  <si>
    <t xml:space="preserve">Schattenmorellen entsteint, gezuckert   </t>
  </si>
  <si>
    <t xml:space="preserve">Tortenpfirsiche   </t>
  </si>
  <si>
    <t>Williams Christ Birnen 1/2 Fr. gezuckert</t>
  </si>
  <si>
    <t xml:space="preserve">Ananas in Scheiben   </t>
  </si>
  <si>
    <t xml:space="preserve">Ananas in Scheiben leicht gezuckert   </t>
  </si>
  <si>
    <t>565 Gramm</t>
  </si>
  <si>
    <t xml:space="preserve">Apfelmus tafelfertig   </t>
  </si>
  <si>
    <t>710 Gramm</t>
  </si>
  <si>
    <t xml:space="preserve">Mandarin-Orangen leicht gezuckert   </t>
  </si>
  <si>
    <t>Pfirsiche 1/2 Frucht gezuckert</t>
  </si>
  <si>
    <t>Sauerkirschen ohne Stein, leicht gezuckert   680gr</t>
  </si>
  <si>
    <t xml:space="preserve">Wildpreiselbeeren   </t>
  </si>
  <si>
    <t>LIBBYS</t>
  </si>
  <si>
    <t xml:space="preserve">Torten-Pfirsiche   </t>
  </si>
  <si>
    <t>NATREEN</t>
  </si>
  <si>
    <t>Birnen 1/4 Frucht</t>
  </si>
  <si>
    <t>ODENWALD</t>
  </si>
  <si>
    <t xml:space="preserve">Apfelkompott   </t>
  </si>
  <si>
    <t xml:space="preserve">Apfelmus   </t>
  </si>
  <si>
    <t>355 Gramm</t>
  </si>
  <si>
    <t xml:space="preserve">Apfelmus und Aprikose   </t>
  </si>
  <si>
    <t xml:space="preserve">Cocktailkirschen   </t>
  </si>
  <si>
    <t xml:space="preserve">Schattenmorellen ohne Stein   </t>
  </si>
  <si>
    <t>SPREEWALDHOF</t>
  </si>
  <si>
    <t xml:space="preserve">Das andere Apfelmus   </t>
  </si>
  <si>
    <t>Pflaumen 1/2 Frucht</t>
  </si>
  <si>
    <t xml:space="preserve">Stachelbeeren   </t>
  </si>
  <si>
    <t>STEINHAUS</t>
  </si>
  <si>
    <t xml:space="preserve">Apfelkompott stueckig   </t>
  </si>
  <si>
    <t>Kon Gemüse &amp; Sauer</t>
  </si>
  <si>
    <t xml:space="preserve">Bohnensalat   </t>
  </si>
  <si>
    <t xml:space="preserve">Cornichons   </t>
  </si>
  <si>
    <t xml:space="preserve">Erbsen sehr fein mit ganzen Moehren   </t>
  </si>
  <si>
    <t xml:space="preserve">Gruenkohl grob gehackt   </t>
  </si>
  <si>
    <t xml:space="preserve">Jalapenos gruen in Scheiben   </t>
  </si>
  <si>
    <t>2900 Gramm</t>
  </si>
  <si>
    <t xml:space="preserve">Letscho Ungar. Art   </t>
  </si>
  <si>
    <t>Oliven gruen ohne Stein 26/29</t>
  </si>
  <si>
    <t>Oliven schwarz ohne Stein</t>
  </si>
  <si>
    <t>4400 Gramm</t>
  </si>
  <si>
    <t>Sauerkraut 9700g / 10200ml</t>
  </si>
  <si>
    <t>9.7 Kilogramm</t>
  </si>
  <si>
    <t xml:space="preserve">Schlesische Gurkenhappen   </t>
  </si>
  <si>
    <t xml:space="preserve">Tomaten geschaelt   </t>
  </si>
  <si>
    <t>2650 Milliliter</t>
  </si>
  <si>
    <t xml:space="preserve">Tomaten getrocknet in Oel   </t>
  </si>
  <si>
    <t>2400 Milliliter</t>
  </si>
  <si>
    <t>71 Milliliter</t>
  </si>
  <si>
    <t xml:space="preserve">Oliven gruen mit Paprika   </t>
  </si>
  <si>
    <t xml:space="preserve">Oliven gruen, mit Stein   </t>
  </si>
  <si>
    <t>BIO FIT</t>
  </si>
  <si>
    <t xml:space="preserve">Sauerkraut   </t>
  </si>
  <si>
    <t>BONDUELLE</t>
  </si>
  <si>
    <t xml:space="preserve">Brechbohnen fein   </t>
  </si>
  <si>
    <t xml:space="preserve">Erbsen extra fein   </t>
  </si>
  <si>
    <t>212 Milliliter</t>
  </si>
  <si>
    <t xml:space="preserve">Erbsen extra fein mit Moehrchen   </t>
  </si>
  <si>
    <t xml:space="preserve">Erbsen sehr fein   </t>
  </si>
  <si>
    <t xml:space="preserve">Erbsen sehr fein mit Moehrchen   </t>
  </si>
  <si>
    <t xml:space="preserve">Garten-Erbsen mit Moehren   </t>
  </si>
  <si>
    <t xml:space="preserve">Gemuesemais Gold   </t>
  </si>
  <si>
    <t xml:space="preserve">Goldmais   </t>
  </si>
  <si>
    <t xml:space="preserve">Gruene Bohnen sehr fein   </t>
  </si>
  <si>
    <t xml:space="preserve">Gruene Bohnen sehr fein ganz   </t>
  </si>
  <si>
    <t>295 Gramm</t>
  </si>
  <si>
    <t xml:space="preserve">Leipziger Allerlei   </t>
  </si>
  <si>
    <t>212 Gramm</t>
  </si>
  <si>
    <t xml:space="preserve">Mexiko Mix   </t>
  </si>
  <si>
    <t xml:space="preserve">Moehrchen extra fein   </t>
  </si>
  <si>
    <t xml:space="preserve">Wachsbrechbohnen   </t>
  </si>
  <si>
    <t>CHI WAN</t>
  </si>
  <si>
    <t xml:space="preserve">Bambussschoesslinge   </t>
  </si>
  <si>
    <t>Mungobohnenkeime</t>
  </si>
  <si>
    <t xml:space="preserve">Linsen mit Suppengruen   </t>
  </si>
  <si>
    <t xml:space="preserve">Spargelabschnitte mit Koepfen   </t>
  </si>
  <si>
    <t>280 Gramm</t>
  </si>
  <si>
    <t>Kraeuter Oliven trock eingelegt Atg.170g</t>
  </si>
  <si>
    <t>935 Milliliter</t>
  </si>
  <si>
    <t xml:space="preserve">Oliven gruen mit Stein   </t>
  </si>
  <si>
    <t>156 Milliliter</t>
  </si>
  <si>
    <t xml:space="preserve">Oliven gruen ohne Stein   </t>
  </si>
  <si>
    <t xml:space="preserve">Oliven mit Mandeln   </t>
  </si>
  <si>
    <t xml:space="preserve">Oliven mit Paprika   </t>
  </si>
  <si>
    <t xml:space="preserve">Oliven schwarz mit Stein   </t>
  </si>
  <si>
    <t xml:space="preserve">Oliven schwarz ohne Stein   </t>
  </si>
  <si>
    <t xml:space="preserve">Oliven schwarz, ohne Stein   </t>
  </si>
  <si>
    <t xml:space="preserve">Teufli gruen mit Frischkaese   </t>
  </si>
  <si>
    <t>Artischockenherzen 8-10 St</t>
  </si>
  <si>
    <t xml:space="preserve">Baked Beans   </t>
  </si>
  <si>
    <t xml:space="preserve">Brechbohnen   </t>
  </si>
  <si>
    <t>Champignons 1. Wahl</t>
  </si>
  <si>
    <t>Champignons 1.Wahl ganze Koepfe</t>
  </si>
  <si>
    <t>Champignons 2.Wahl in Scheiben</t>
  </si>
  <si>
    <t xml:space="preserve">Gemuesemais   </t>
  </si>
  <si>
    <t>330 Milliliter</t>
  </si>
  <si>
    <t xml:space="preserve">Mischpilze   </t>
  </si>
  <si>
    <t xml:space="preserve">Mungobohnenkeimlinge   </t>
  </si>
  <si>
    <t xml:space="preserve">Passierte Tomaten   </t>
  </si>
  <si>
    <t xml:space="preserve">Schnittbohnen   </t>
  </si>
  <si>
    <t>Speisekartoffeln küchenfertig</t>
  </si>
  <si>
    <t>0.68 Kilogramm</t>
  </si>
  <si>
    <t xml:space="preserve">Stangenspargel   </t>
  </si>
  <si>
    <t xml:space="preserve">Stangenspargel weiss   </t>
  </si>
  <si>
    <t xml:space="preserve">Stockschwaemmchen   </t>
  </si>
  <si>
    <t>24 Tuben</t>
  </si>
  <si>
    <t>GOLD BERRY</t>
  </si>
  <si>
    <t>Tomatenmark 2-fach</t>
  </si>
  <si>
    <t xml:space="preserve"> Champignons I. Wahl Köpfe   </t>
  </si>
  <si>
    <t xml:space="preserve">Artischocken gegrillt in Oel   </t>
  </si>
  <si>
    <t>Champignon 3. Wahl geschnitten</t>
  </si>
  <si>
    <t>314 Milliliter</t>
  </si>
  <si>
    <t>670 Gramm</t>
  </si>
  <si>
    <t xml:space="preserve">Delikatess Rotkohl tafelfertig   </t>
  </si>
  <si>
    <t xml:space="preserve">Gewuerzgurken Auslese   </t>
  </si>
  <si>
    <t xml:space="preserve">Gurkensticks   </t>
  </si>
  <si>
    <t>670 Milliliter</t>
  </si>
  <si>
    <t xml:space="preserve">Gurkentopf   </t>
  </si>
  <si>
    <t>1550 Gramm</t>
  </si>
  <si>
    <t xml:space="preserve">Karottensalat   </t>
  </si>
  <si>
    <t xml:space="preserve">Maiskoerner   </t>
  </si>
  <si>
    <t xml:space="preserve">Mixed Pickles   </t>
  </si>
  <si>
    <t xml:space="preserve">Pfifferlinge unsortiert   </t>
  </si>
  <si>
    <t xml:space="preserve">Pizza Tomaten   </t>
  </si>
  <si>
    <t xml:space="preserve">Prinzessbohnen fein   </t>
  </si>
  <si>
    <t xml:space="preserve">Pusztasalat /Gemuesesalat   </t>
  </si>
  <si>
    <t xml:space="preserve">Rote Bete in Scheiben   </t>
  </si>
  <si>
    <t xml:space="preserve">Rote Bete Kugeln   </t>
  </si>
  <si>
    <t xml:space="preserve">Selleriesalat   </t>
  </si>
  <si>
    <t xml:space="preserve">Silberzwiebeln   </t>
  </si>
  <si>
    <t xml:space="preserve">Stangenspargel weiss, geschaelt   </t>
  </si>
  <si>
    <t>HAK</t>
  </si>
  <si>
    <t xml:space="preserve">Weisse Bohnen   </t>
  </si>
  <si>
    <t xml:space="preserve">Gurken Knax   </t>
  </si>
  <si>
    <t>720 Milliliter</t>
  </si>
  <si>
    <t xml:space="preserve">Knax Gewuerzgurken   </t>
  </si>
  <si>
    <t xml:space="preserve">Mildessa mildes Weinsauerkraut   </t>
  </si>
  <si>
    <t>Mildessa Weinkraut 2</t>
  </si>
  <si>
    <t>15 Dosen</t>
  </si>
  <si>
    <t>Mildessa Weinkraut 4</t>
  </si>
  <si>
    <t>580 Milliliter</t>
  </si>
  <si>
    <t>Mildessa Weinkraut 6</t>
  </si>
  <si>
    <t xml:space="preserve">Oro di Parma passierte Tomaten   </t>
  </si>
  <si>
    <t xml:space="preserve">Oro di Parma Tomaten stückig m.Basilikum   </t>
  </si>
  <si>
    <t xml:space="preserve">Oro di Parma Tomatenmark mit Basilikum   </t>
  </si>
  <si>
    <t xml:space="preserve">Oro Tomatenmark mit Wuerzgemuese   </t>
  </si>
  <si>
    <t xml:space="preserve">Paprikatomatenmark   </t>
  </si>
  <si>
    <t xml:space="preserve">Rotkohl traditionelle Art   </t>
  </si>
  <si>
    <t xml:space="preserve">Weinkraut Raeucherspeck   </t>
  </si>
  <si>
    <t>430 Milliliter</t>
  </si>
  <si>
    <t>ISKA</t>
  </si>
  <si>
    <t>840 Milliliter</t>
  </si>
  <si>
    <t xml:space="preserve">Apfelrotkohl   </t>
  </si>
  <si>
    <t>680 Milliliter</t>
  </si>
  <si>
    <t xml:space="preserve">Daenischer Gurkensalat   </t>
  </si>
  <si>
    <t>Fasskraut in 2 Minuten fertig</t>
  </si>
  <si>
    <t xml:space="preserve">Fasskraut Trad.Art   </t>
  </si>
  <si>
    <t xml:space="preserve">Fasskraut Traditionelle Art   </t>
  </si>
  <si>
    <t xml:space="preserve">Feine Cornichons   </t>
  </si>
  <si>
    <t xml:space="preserve">Gewuerzgurken   </t>
  </si>
  <si>
    <t xml:space="preserve">Holsteiner Apfelrotkohl   </t>
  </si>
  <si>
    <t xml:space="preserve">Honiggurken   </t>
  </si>
  <si>
    <t xml:space="preserve">Peperoni  scharf   </t>
  </si>
  <si>
    <t xml:space="preserve">Peperoni mild   </t>
  </si>
  <si>
    <t>315 Gramm</t>
  </si>
  <si>
    <t xml:space="preserve">Pusztasalat   </t>
  </si>
  <si>
    <t xml:space="preserve">Rotkohl   </t>
  </si>
  <si>
    <t xml:space="preserve">Salz-Dill-Gurken   </t>
  </si>
  <si>
    <t xml:space="preserve">Schlemmertopf Feine Guerkchen   </t>
  </si>
  <si>
    <t xml:space="preserve">Selleriestreifen   </t>
  </si>
  <si>
    <t xml:space="preserve">Senfgurken   </t>
  </si>
  <si>
    <t>320 Milliliter</t>
  </si>
  <si>
    <t>LIMBURG</t>
  </si>
  <si>
    <t>Champignons 3. Wahl geschnitten</t>
  </si>
  <si>
    <t>MAMMINGER</t>
  </si>
  <si>
    <t xml:space="preserve">Weinsauerkraut   </t>
  </si>
  <si>
    <t>810 Gramm</t>
  </si>
  <si>
    <t xml:space="preserve">Geschaelte Tomaten   </t>
  </si>
  <si>
    <t>NOLIKO</t>
  </si>
  <si>
    <t xml:space="preserve">Grosse Bohnen   </t>
  </si>
  <si>
    <t xml:space="preserve">Schwarzwurzeln   </t>
  </si>
  <si>
    <t xml:space="preserve">Weisse Bohnen Natur   </t>
  </si>
  <si>
    <t>RED COCK</t>
  </si>
  <si>
    <t>Rambutans ATG 230gr</t>
  </si>
  <si>
    <t>530 Milliliter</t>
  </si>
  <si>
    <t>24 Gläser</t>
  </si>
  <si>
    <t>SPECHT</t>
  </si>
  <si>
    <t>2 Gläser</t>
  </si>
  <si>
    <t>Gewürzgurken Spreelinge</t>
  </si>
  <si>
    <t>VALENZI</t>
  </si>
  <si>
    <t xml:space="preserve">Pfifferlinge mittel   </t>
  </si>
  <si>
    <t>Nudeln</t>
  </si>
  <si>
    <t xml:space="preserve">Mie Nudeln, ohne Ei   </t>
  </si>
  <si>
    <t xml:space="preserve">Fusilli Integrale   </t>
  </si>
  <si>
    <t>Fusilli No.98</t>
  </si>
  <si>
    <t xml:space="preserve">Lasagne   </t>
  </si>
  <si>
    <t>Penne Rigate No. 73</t>
  </si>
  <si>
    <t xml:space="preserve">Spaghetti Integrale   </t>
  </si>
  <si>
    <t>Spaghetti No. 5</t>
  </si>
  <si>
    <t>Spaghettini no.3</t>
  </si>
  <si>
    <t>Tortiglioni No. 83</t>
  </si>
  <si>
    <t>BIRKEL</t>
  </si>
  <si>
    <t>7 Huehnchen Gabelspaghetti</t>
  </si>
  <si>
    <t>7 Huehnchen Maccaroni</t>
  </si>
  <si>
    <t>7 Huehnchen Spaghetti</t>
  </si>
  <si>
    <t>Band 8mm</t>
  </si>
  <si>
    <t>No. 1 Breite Bandnudeln 15mm</t>
  </si>
  <si>
    <t>No. 1 Buchstaben</t>
  </si>
  <si>
    <t>No. 1 Fadennudeln</t>
  </si>
  <si>
    <t>No. 1 Gabel-Spaghetti</t>
  </si>
  <si>
    <t>No. 1 Gabelspaghetti</t>
  </si>
  <si>
    <t>No. 1 Hoernchen</t>
  </si>
  <si>
    <t>No. 1 Maccaronni</t>
  </si>
  <si>
    <t>No. 1 Muscheln</t>
  </si>
  <si>
    <t>No. 1 Shipli</t>
  </si>
  <si>
    <t>No. 1 Spaghetti</t>
  </si>
  <si>
    <t>No. 1 Spiralen</t>
  </si>
  <si>
    <t>No. 1 Trulli</t>
  </si>
  <si>
    <t xml:space="preserve">Nudel Inspiration kunderbunt   </t>
  </si>
  <si>
    <t xml:space="preserve">Sonnen Eiernudeln Muscheln   </t>
  </si>
  <si>
    <t>BUITONI</t>
  </si>
  <si>
    <t xml:space="preserve">Eliche   </t>
  </si>
  <si>
    <t xml:space="preserve">Farfalle   </t>
  </si>
  <si>
    <t xml:space="preserve">Gnocchi   </t>
  </si>
  <si>
    <t>Maccaroni 75</t>
  </si>
  <si>
    <t xml:space="preserve">Penne Lisee   </t>
  </si>
  <si>
    <t xml:space="preserve">Penne Rigate   </t>
  </si>
  <si>
    <t xml:space="preserve">Spaghetti   </t>
  </si>
  <si>
    <t>Spaghettini No. 72</t>
  </si>
  <si>
    <t>Tagliatelle No. 16</t>
  </si>
  <si>
    <t xml:space="preserve">Tortiglioni   </t>
  </si>
  <si>
    <t>DIAMOND</t>
  </si>
  <si>
    <t xml:space="preserve">Glasnudeln lang   </t>
  </si>
  <si>
    <t>DORFMUEHLE</t>
  </si>
  <si>
    <t>Bandnudeln 12mm</t>
  </si>
  <si>
    <t>DORFMÜHLE</t>
  </si>
  <si>
    <t xml:space="preserve">Schwaebische Spaetzle   </t>
  </si>
  <si>
    <t xml:space="preserve">Bio Fusilli Hartweizen   </t>
  </si>
  <si>
    <t>Bio Vollkorn Muscheln</t>
  </si>
  <si>
    <t xml:space="preserve">Bio Vollkorn Penne   </t>
  </si>
  <si>
    <t xml:space="preserve">Bio Vollkorn Spaghetti   </t>
  </si>
  <si>
    <t>Dinkel Spaghetti</t>
  </si>
  <si>
    <t xml:space="preserve">Italia Fusilli   </t>
  </si>
  <si>
    <t xml:space="preserve">Italia Spaghetti   </t>
  </si>
  <si>
    <t>Italia Spaghetti No.5</t>
  </si>
  <si>
    <t xml:space="preserve">Italia Tortellini Formaggi   </t>
  </si>
  <si>
    <t xml:space="preserve">Italia Tortellini mit Schinken   </t>
  </si>
  <si>
    <t xml:space="preserve">Italia Tortellini Tricolore   </t>
  </si>
  <si>
    <t xml:space="preserve">Lasagne Gelb   </t>
  </si>
  <si>
    <t xml:space="preserve">Maccaroni kurz   </t>
  </si>
  <si>
    <t xml:space="preserve">Selection Pasta Conchiglioni   </t>
  </si>
  <si>
    <t xml:space="preserve">Spirale Tricolore   </t>
  </si>
  <si>
    <t>Tagliatelle Gelb no 70</t>
  </si>
  <si>
    <t xml:space="preserve">Tagliatelle Verdi (Band gruen   </t>
  </si>
  <si>
    <t>GENUSS PUR</t>
  </si>
  <si>
    <t xml:space="preserve">Gedrehte Bandnudeln   </t>
  </si>
  <si>
    <t xml:space="preserve">Schnittnudeln   </t>
  </si>
  <si>
    <t xml:space="preserve">Fusilli   </t>
  </si>
  <si>
    <t xml:space="preserve">Schwaebische Eier-Spaetzle   </t>
  </si>
  <si>
    <t>Reis</t>
  </si>
  <si>
    <t xml:space="preserve">Milchreis Vanille   </t>
  </si>
  <si>
    <t xml:space="preserve">Süße Mahlzeit Apfelpüfferchen   </t>
  </si>
  <si>
    <t>152 Gramm</t>
  </si>
  <si>
    <t xml:space="preserve">Süße Mahlzeit Kaiserschmarn   </t>
  </si>
  <si>
    <t xml:space="preserve">Parboiledreis   </t>
  </si>
  <si>
    <t xml:space="preserve">Langkorn Spitzenreis KB   </t>
  </si>
  <si>
    <t xml:space="preserve">Parboiled Reis   </t>
  </si>
  <si>
    <t xml:space="preserve">Basmatireis   </t>
  </si>
  <si>
    <t xml:space="preserve">Jasmin Reis   </t>
  </si>
  <si>
    <t>2 Kilogramm</t>
  </si>
  <si>
    <t xml:space="preserve">Parboiled Langkornreis Spitzenqualitaet   </t>
  </si>
  <si>
    <t xml:space="preserve">Wildreis (schwarz)   </t>
  </si>
  <si>
    <t>ORYZA</t>
  </si>
  <si>
    <t xml:space="preserve">Basmati und Wildreis   </t>
  </si>
  <si>
    <t xml:space="preserve">Himalaya-Basmati Reis   </t>
  </si>
  <si>
    <t xml:space="preserve">Ideal Reis   </t>
  </si>
  <si>
    <t>1 Gramm</t>
  </si>
  <si>
    <t xml:space="preserve">Langkorn Naturreis   </t>
  </si>
  <si>
    <t xml:space="preserve">Natur-/Wildreis   </t>
  </si>
  <si>
    <t xml:space="preserve">Risotto Reis lose   </t>
  </si>
  <si>
    <t>REIS-FIT</t>
  </si>
  <si>
    <t>8 Minuten Reis im Kochbeutel 4 x 125 gr.</t>
  </si>
  <si>
    <t>8- Minuten Naturreis</t>
  </si>
  <si>
    <t xml:space="preserve">Basmati-Reis   </t>
  </si>
  <si>
    <t xml:space="preserve">Basmati+Wildreis im Kochbeutel   </t>
  </si>
  <si>
    <t>Langkornreis im Kochbeutel 4 x 125 gr.</t>
  </si>
  <si>
    <t>RUF</t>
  </si>
  <si>
    <t>Mehl</t>
  </si>
  <si>
    <t>AURORA</t>
  </si>
  <si>
    <t xml:space="preserve">Bauernkruste Brotbackmischung   </t>
  </si>
  <si>
    <t>Dinkelmehl Typ 630</t>
  </si>
  <si>
    <t>Instant Mehl T405</t>
  </si>
  <si>
    <t xml:space="preserve">Roggen Dinkelbrot   </t>
  </si>
  <si>
    <t>Roggenmehl Typ 1150</t>
  </si>
  <si>
    <t xml:space="preserve">Saftiges Kornbrot   </t>
  </si>
  <si>
    <t>Bio-Kokosmehl Verkauf nur im Karton 6 x 400gr</t>
  </si>
  <si>
    <t xml:space="preserve">Eier-Pfannkuchen   </t>
  </si>
  <si>
    <t xml:space="preserve">Herzwaffeln   </t>
  </si>
  <si>
    <t>Weizenmehl Typ 405</t>
  </si>
  <si>
    <t xml:space="preserve">Backmischung fuer Brownies   </t>
  </si>
  <si>
    <t>462 Gramm</t>
  </si>
  <si>
    <t xml:space="preserve">Backmischung fuer Muffins   </t>
  </si>
  <si>
    <t xml:space="preserve">Backpulver Backin   </t>
  </si>
  <si>
    <t xml:space="preserve">Dekor Fondant rot   </t>
  </si>
  <si>
    <t xml:space="preserve">Kaesekuchen   </t>
  </si>
  <si>
    <t>580 Gramm</t>
  </si>
  <si>
    <t xml:space="preserve">Kaesekuchenhilfe   </t>
  </si>
  <si>
    <t xml:space="preserve">Marmorkuchen Backmischung   </t>
  </si>
  <si>
    <t>475 Gramm</t>
  </si>
  <si>
    <t xml:space="preserve">Muffins Teig Zitrone   </t>
  </si>
  <si>
    <t>435 Gramm</t>
  </si>
  <si>
    <t xml:space="preserve">Pizzateig italienische Art   </t>
  </si>
  <si>
    <t xml:space="preserve">Schokino   </t>
  </si>
  <si>
    <t>495 Gramm</t>
  </si>
  <si>
    <t xml:space="preserve">Schokoladenkuchen   </t>
  </si>
  <si>
    <t xml:space="preserve">Bio Roggenvollkornbrot   </t>
  </si>
  <si>
    <t>GLORIA</t>
  </si>
  <si>
    <t xml:space="preserve">Roggen-Vollkornschrot   </t>
  </si>
  <si>
    <t xml:space="preserve">Brotbackmischung Bauernbrot   </t>
  </si>
  <si>
    <t xml:space="preserve">Kartoffelmehl   </t>
  </si>
  <si>
    <t xml:space="preserve">Paniermehl   </t>
  </si>
  <si>
    <t xml:space="preserve">Speisestaerke   </t>
  </si>
  <si>
    <t xml:space="preserve"> Mondamin Speisestaerke   </t>
  </si>
  <si>
    <t xml:space="preserve">Mehlschwitze braun   </t>
  </si>
  <si>
    <t xml:space="preserve">Mehlschwitze hell   </t>
  </si>
  <si>
    <t xml:space="preserve">Backmischung Choco-Chunks Zartbitter   </t>
  </si>
  <si>
    <t xml:space="preserve">Backmischung Eierpfannkuchenteig   </t>
  </si>
  <si>
    <t xml:space="preserve">Backmischung Funfetti Kuchen   </t>
  </si>
  <si>
    <t xml:space="preserve">Backmischung Kuh-Elsa Kuchen   </t>
  </si>
  <si>
    <t>775 Gramm</t>
  </si>
  <si>
    <t xml:space="preserve">Backmischung Regenbogenkuchen   </t>
  </si>
  <si>
    <t>840 Gramm</t>
  </si>
  <si>
    <t>SCHAPFENMUEHLE</t>
  </si>
  <si>
    <t xml:space="preserve">Buchweizenmehl   </t>
  </si>
  <si>
    <t>Dinkelmehl Typ630</t>
  </si>
  <si>
    <t>Backen</t>
  </si>
  <si>
    <t xml:space="preserve">Blaumohn ganz   </t>
  </si>
  <si>
    <t>GELiTA Blattgelatine  500 Blatt</t>
  </si>
  <si>
    <t xml:space="preserve">Vanillinzucker   </t>
  </si>
  <si>
    <t xml:space="preserve">Trockenbackhefe   </t>
  </si>
  <si>
    <t>Kuvertuere Vollmilch 26%</t>
  </si>
  <si>
    <t xml:space="preserve">Kuvertuere weiss   </t>
  </si>
  <si>
    <t>Backpulver Backin 3er</t>
  </si>
  <si>
    <t>120 Pakete</t>
  </si>
  <si>
    <t>Bittermandel-Aroma 4er</t>
  </si>
  <si>
    <t xml:space="preserve">Blattgelatine weiß   </t>
  </si>
  <si>
    <t>10 Gramm</t>
  </si>
  <si>
    <t>50 Pakete</t>
  </si>
  <si>
    <t>Bourbon-Vanille Zucker 3er</t>
  </si>
  <si>
    <t>Butter-Vanille Aroma 4er</t>
  </si>
  <si>
    <t xml:space="preserve">Dekorherzen Schokolade   </t>
  </si>
  <si>
    <t>47 Gramm</t>
  </si>
  <si>
    <t xml:space="preserve">feine Marzipan-Decke   </t>
  </si>
  <si>
    <t xml:space="preserve">feine Mocca-Bohnen   </t>
  </si>
  <si>
    <t>Finesse Orangenschale gerieben 3x6gr</t>
  </si>
  <si>
    <t>Finesse Zitronenschale 3er</t>
  </si>
  <si>
    <t xml:space="preserve"> Gramm</t>
  </si>
  <si>
    <t>Gelatine gemahlen, weiss, 3er</t>
  </si>
  <si>
    <t xml:space="preserve">Gelatine-Fix   </t>
  </si>
  <si>
    <t>Gelfix Extra 2:1</t>
  </si>
  <si>
    <t xml:space="preserve">Haselnuss Krokant   </t>
  </si>
  <si>
    <t xml:space="preserve">Instant Goetterspeise Waldmeister   </t>
  </si>
  <si>
    <t xml:space="preserve">Kuchenglasur dunkel   </t>
  </si>
  <si>
    <t xml:space="preserve">Kuchenglasur Vollmilch   </t>
  </si>
  <si>
    <t xml:space="preserve">Kuvertuere Zartbitter   </t>
  </si>
  <si>
    <t xml:space="preserve">Marzipan Rohmasse   </t>
  </si>
  <si>
    <t xml:space="preserve">Mohnback   </t>
  </si>
  <si>
    <t xml:space="preserve">Pistazienkerne   </t>
  </si>
  <si>
    <t xml:space="preserve">Raspelschokolade Vollmilch   </t>
  </si>
  <si>
    <t xml:space="preserve">Raspelschokolade Zartbitter   </t>
  </si>
  <si>
    <t>Rum-Aroma 4er</t>
  </si>
  <si>
    <t>Sahnesteif 5er</t>
  </si>
  <si>
    <t xml:space="preserve">SchokoTroepfchen   </t>
  </si>
  <si>
    <t>Tortenguss klar, 3er</t>
  </si>
  <si>
    <t>Tortenguss rot 3er</t>
  </si>
  <si>
    <t>Trocken Backhefe 4er Pack</t>
  </si>
  <si>
    <t>Vanillinzucker 10er</t>
  </si>
  <si>
    <t>60 Pakete</t>
  </si>
  <si>
    <t>Vanillinzucker 5er</t>
  </si>
  <si>
    <t>Zitonen-Aroma 4er</t>
  </si>
  <si>
    <t xml:space="preserve">Zuckerschrift   </t>
  </si>
  <si>
    <t>17 Pakete</t>
  </si>
  <si>
    <t xml:space="preserve">Kokosraspeln   </t>
  </si>
  <si>
    <t>18 Tafeln</t>
  </si>
  <si>
    <t xml:space="preserve">Mandeln ganz   </t>
  </si>
  <si>
    <t xml:space="preserve">Mandeln gehackt   </t>
  </si>
  <si>
    <t xml:space="preserve">Mandeln gehobelt   </t>
  </si>
  <si>
    <t xml:space="preserve">Mandeln gemahlen   </t>
  </si>
  <si>
    <t xml:space="preserve">Mandeln naturell gemahlen   </t>
  </si>
  <si>
    <t xml:space="preserve">Mandelstifte   </t>
  </si>
  <si>
    <t xml:space="preserve">Mohnfix   </t>
  </si>
  <si>
    <t xml:space="preserve">Orangeat gewuerfelt   </t>
  </si>
  <si>
    <t>32 Becher</t>
  </si>
  <si>
    <t>Backpulver 6er</t>
  </si>
  <si>
    <t>54 Pakete</t>
  </si>
  <si>
    <t xml:space="preserve">Bunte Zuckerstreusel   </t>
  </si>
  <si>
    <t>9 Dosen</t>
  </si>
  <si>
    <t xml:space="preserve">Donckels Blockschokolade   </t>
  </si>
  <si>
    <t xml:space="preserve">Haselnusskerne gemahlen   </t>
  </si>
  <si>
    <t xml:space="preserve">Kokosraspeln, fein   </t>
  </si>
  <si>
    <t>Sahnefest 5er</t>
  </si>
  <si>
    <t>42 Pakete</t>
  </si>
  <si>
    <t>Tortenguss klar 6er</t>
  </si>
  <si>
    <t>Tortenguss rot 6er</t>
  </si>
  <si>
    <t>Trockenbackhefe 6er</t>
  </si>
  <si>
    <t xml:space="preserve">Zironat gewuerfelt   </t>
  </si>
  <si>
    <t>KUECHLE</t>
  </si>
  <si>
    <t>Backoblaten 50mm</t>
  </si>
  <si>
    <t xml:space="preserve">Schmuckdose Vanillezucker mit echter Bourbon-Vanille  </t>
  </si>
  <si>
    <t>4 Gläser</t>
  </si>
  <si>
    <t>PICKERDILLY</t>
  </si>
  <si>
    <t xml:space="preserve">Kakaoglasur   </t>
  </si>
  <si>
    <t xml:space="preserve">Vollmilchglasur   </t>
  </si>
  <si>
    <t>Backaroma Zitrone 4er</t>
  </si>
  <si>
    <t>Backpulver, 1 kg</t>
  </si>
  <si>
    <t>Bourbon-Vanille Sauce 3er</t>
  </si>
  <si>
    <t xml:space="preserve">Gelatine WS gemahlen   </t>
  </si>
  <si>
    <t>27 Gramm</t>
  </si>
  <si>
    <t>56 Beutel</t>
  </si>
  <si>
    <t>Rum Aroma 4er</t>
  </si>
  <si>
    <t xml:space="preserve">Sofort Gelatine im Beutel   </t>
  </si>
  <si>
    <t xml:space="preserve">Schokoladensauce   </t>
  </si>
  <si>
    <t>ULMER</t>
  </si>
  <si>
    <t xml:space="preserve">Raspelschokolade   </t>
  </si>
  <si>
    <t>Puddinpulver</t>
  </si>
  <si>
    <t xml:space="preserve">Puddingpulver zum Kochen Mandel   </t>
  </si>
  <si>
    <t>1.5 Kilogramm</t>
  </si>
  <si>
    <t xml:space="preserve">Aranca Aprikose-Maracuja   </t>
  </si>
  <si>
    <t xml:space="preserve">Aranca Zitrone   </t>
  </si>
  <si>
    <t xml:space="preserve">backfeste Puddingcreme Vanillegeschmack   </t>
  </si>
  <si>
    <t xml:space="preserve">Dessert Creme Straciatella   </t>
  </si>
  <si>
    <t xml:space="preserve">Dessert Creme Tiramisu   </t>
  </si>
  <si>
    <t xml:space="preserve">Frische Kaltschale Erdbeere   </t>
  </si>
  <si>
    <t>Gala Echt Karamel 3er</t>
  </si>
  <si>
    <t>Gala Schokolade 3er</t>
  </si>
  <si>
    <t>Gala Vanille 3er</t>
  </si>
  <si>
    <t>Galetta Schokolade 1 Minute</t>
  </si>
  <si>
    <t xml:space="preserve">Galetta Vanille   </t>
  </si>
  <si>
    <t xml:space="preserve">Garant Griesspudding   </t>
  </si>
  <si>
    <t xml:space="preserve">Garant Schokolade   </t>
  </si>
  <si>
    <t xml:space="preserve">Garant Vanille   </t>
  </si>
  <si>
    <t>Goetterspeise Himbeer 2 Beutel</t>
  </si>
  <si>
    <t>Goetterspeise Waldmeister 2 Beutel</t>
  </si>
  <si>
    <t>Goetterspeise Zitrone 2 Beutel</t>
  </si>
  <si>
    <t xml:space="preserve">Griessbrei   </t>
  </si>
  <si>
    <t xml:space="preserve">Instant Goetterspeise Kirsch   </t>
  </si>
  <si>
    <t xml:space="preserve">Kaltschale Himbeer/Johannisbeer   </t>
  </si>
  <si>
    <t xml:space="preserve">Mousse a la Vanille   </t>
  </si>
  <si>
    <t xml:space="preserve">Mousse au Chocolate   </t>
  </si>
  <si>
    <t>Original Puddingpulver Vanille z.K. 3er</t>
  </si>
  <si>
    <t xml:space="preserve">Paradies Creme des Jahres   </t>
  </si>
  <si>
    <t xml:space="preserve">Paradies Sahne-Caramel   </t>
  </si>
  <si>
    <t xml:space="preserve">Paradiescreme Schokolade   </t>
  </si>
  <si>
    <t xml:space="preserve">Paradiescreme Vanille   </t>
  </si>
  <si>
    <t xml:space="preserve">Paradiescreme Zitrone   </t>
  </si>
  <si>
    <t>Puddingpulver Schoko z.K. 3er</t>
  </si>
  <si>
    <t xml:space="preserve">Quarkfein Erdbeer   </t>
  </si>
  <si>
    <t xml:space="preserve">Quarkfein Vanille   </t>
  </si>
  <si>
    <t xml:space="preserve">Quarkfein Zitrone   </t>
  </si>
  <si>
    <t xml:space="preserve">Rotwein-Creme   </t>
  </si>
  <si>
    <t xml:space="preserve">Sossenpulver Vanille   </t>
  </si>
  <si>
    <t>Puddingpulver Schoko 3er</t>
  </si>
  <si>
    <t>Puddingpulver Vanille 5er</t>
  </si>
  <si>
    <t xml:space="preserve">Goetterspeise Instant Kirsch   </t>
  </si>
  <si>
    <t xml:space="preserve">Goetterspeise Instant Waldmeister   </t>
  </si>
  <si>
    <t xml:space="preserve">Goetterspeise Waldmeister   </t>
  </si>
  <si>
    <t>24 Gramm</t>
  </si>
  <si>
    <t xml:space="preserve">Goetterspeise Zitrone   </t>
  </si>
  <si>
    <t xml:space="preserve">Puddingpulver Schokolade   </t>
  </si>
  <si>
    <t xml:space="preserve">Puddingpulver Vanille   </t>
  </si>
  <si>
    <t>Puddingpulver Zitrone 3er</t>
  </si>
  <si>
    <t>Sahne Puddingpulver 3er</t>
  </si>
  <si>
    <t>Sossenpulver Vanille o.K. 3er</t>
  </si>
  <si>
    <t>34 Pakete</t>
  </si>
  <si>
    <t>Zucker &amp; Süßstoff</t>
  </si>
  <si>
    <t xml:space="preserve">Brauner Wuerfelkandis   </t>
  </si>
  <si>
    <t xml:space="preserve">Einmachzucker   </t>
  </si>
  <si>
    <t>"Stevia" Flüssigtafelsüße Verkauf nur im Karton 10 x 125ml</t>
  </si>
  <si>
    <t>125 Milliliter</t>
  </si>
  <si>
    <t>"Stevia" Kristalline Streusüße Verkauf nur im Karton 8  x 300gr</t>
  </si>
  <si>
    <t>"Stevia" Streusüße Verkauf nur im Karton 6 x 75gr</t>
  </si>
  <si>
    <t>"Stevia" Süßstofftabletten 120 Stück Verkauf nur im Karton 12 x 120 Stück</t>
  </si>
  <si>
    <t>6 Gramm</t>
  </si>
  <si>
    <t>Bio-Kokosblüten-Sirup Verkauf nur im Karton 6 x 250gr</t>
  </si>
  <si>
    <t>Bio-Kokosblütenzucker Verkauf nur im Karton 8  x 300gr</t>
  </si>
  <si>
    <t>Gelierzucker 2:1</t>
  </si>
  <si>
    <t xml:space="preserve">Raffinade   </t>
  </si>
  <si>
    <t xml:space="preserve">Suessstoff flüssig   </t>
  </si>
  <si>
    <t>Suessstoff im Spender 1200er</t>
  </si>
  <si>
    <t>KLUNTJE</t>
  </si>
  <si>
    <t xml:space="preserve">Kandies weiss   </t>
  </si>
  <si>
    <t xml:space="preserve">Diaet Suesse fluessig   </t>
  </si>
  <si>
    <t>Diaetsuesse Nachfuellpackung 3x500St.</t>
  </si>
  <si>
    <t>Spenderdose 500ST</t>
  </si>
  <si>
    <t>NORDZUCKER</t>
  </si>
  <si>
    <t xml:space="preserve">Brauner Rohrzucker   </t>
  </si>
  <si>
    <t xml:space="preserve">Gelierzucker   </t>
  </si>
  <si>
    <t xml:space="preserve">Glueckswuerfel Zucker   </t>
  </si>
  <si>
    <t xml:space="preserve">Puderraffinade   </t>
  </si>
  <si>
    <t>Sweet Family Brauner Kandis</t>
  </si>
  <si>
    <t xml:space="preserve">Sweet Family Hagelzucker   </t>
  </si>
  <si>
    <t xml:space="preserve">Wuerfelzucker   </t>
  </si>
  <si>
    <t xml:space="preserve">Zucker extrafein   </t>
  </si>
  <si>
    <t xml:space="preserve">Schokoladen Sauce   </t>
  </si>
  <si>
    <t>SÜDZUCKER</t>
  </si>
  <si>
    <t xml:space="preserve">Weisser Kandis   </t>
  </si>
  <si>
    <t xml:space="preserve">Zuckerhüte   </t>
  </si>
  <si>
    <t>Salz</t>
  </si>
  <si>
    <t xml:space="preserve">Speisesalz grob   </t>
  </si>
  <si>
    <t xml:space="preserve">Meersalz   </t>
  </si>
  <si>
    <t>BADREICHENHALL</t>
  </si>
  <si>
    <t xml:space="preserve">Jod Salz   </t>
  </si>
  <si>
    <t xml:space="preserve">Jodsalz in der Dose   </t>
  </si>
  <si>
    <t xml:space="preserve">Kraeuter Jodsalz   </t>
  </si>
  <si>
    <t xml:space="preserve">Markensalz   </t>
  </si>
  <si>
    <t xml:space="preserve">Jodsalz mit Flour   </t>
  </si>
  <si>
    <t xml:space="preserve">Meersalz mit Mühle   </t>
  </si>
  <si>
    <t xml:space="preserve">Tafelsalz   </t>
  </si>
  <si>
    <t>REICHENHALL</t>
  </si>
  <si>
    <t>SALZINA</t>
  </si>
  <si>
    <t xml:space="preserve">Tafelsiedesalz   </t>
  </si>
  <si>
    <t>12 Kartons</t>
  </si>
  <si>
    <t>10 Kartons</t>
  </si>
  <si>
    <t xml:space="preserve">Meersalz mit Jod   </t>
  </si>
  <si>
    <t>Milch</t>
  </si>
  <si>
    <t>H-Milch</t>
  </si>
  <si>
    <t>12 Liter</t>
  </si>
  <si>
    <t xml:space="preserve">H-Milch   </t>
  </si>
  <si>
    <t xml:space="preserve">Mandeldrink ungesuesst   </t>
  </si>
  <si>
    <t xml:space="preserve">Bio Hafer Drink Original   </t>
  </si>
  <si>
    <t xml:space="preserve">Mandeldrink   </t>
  </si>
  <si>
    <t xml:space="preserve">Soya Drink Choco   </t>
  </si>
  <si>
    <t>Soya Drink Original mit Calzium   1L</t>
  </si>
  <si>
    <t xml:space="preserve">Soya Drink Vanilla   </t>
  </si>
  <si>
    <t>BAERENMARKE</t>
  </si>
  <si>
    <t xml:space="preserve">Kaffeetraum   </t>
  </si>
  <si>
    <t xml:space="preserve">Kaffeetraum leicht   </t>
  </si>
  <si>
    <t xml:space="preserve">Kaffeeweißer   </t>
  </si>
  <si>
    <t xml:space="preserve">Kondensmilch Kännchen 4% </t>
  </si>
  <si>
    <t>Kondensmilch Tetrapack 7,5%</t>
  </si>
  <si>
    <t>20 Tetrapack</t>
  </si>
  <si>
    <t>SUCOFIN</t>
  </si>
  <si>
    <t xml:space="preserve">Magermilchpulver   </t>
  </si>
  <si>
    <t>Bier</t>
  </si>
  <si>
    <t>Astra Premium Pils, 24Ds x 0,33 Ltr</t>
  </si>
  <si>
    <t>7.92 Liter</t>
  </si>
  <si>
    <t>1 Karton</t>
  </si>
  <si>
    <t>Beck´s Gold Bier MW 24Fl x 0,33lt</t>
  </si>
  <si>
    <t>Beck´s Green Lemon MW 24Fl x 0,33lt</t>
  </si>
  <si>
    <t>Beck´s Ice MW 24Fl x 0,33lt</t>
  </si>
  <si>
    <t>Benediktiner Hefeweissbier hell 20Flx0,5l</t>
  </si>
  <si>
    <t>Benediktiner Weissbier, naturtrüb, 24 Ds x 0,50 Ltr</t>
  </si>
  <si>
    <t>Bitburger Bier 0,0%, 24Fl x 0,33lt</t>
  </si>
  <si>
    <t>Carlsberg Bier Green Label 24Ds x 0,33lt</t>
  </si>
  <si>
    <t>Cody´s Bier 24Ds x 0,5lt</t>
  </si>
  <si>
    <t>Cody´s Bier Citrus/Vodka 24Ds x 0,5lt</t>
  </si>
  <si>
    <t>Cody´s Bier Superstrong 24Ds x 0,5lt</t>
  </si>
  <si>
    <t>Cody´s Extra Stout Bier 24Ds x 0,5lt</t>
  </si>
  <si>
    <t>Corona Extra Bier 24Fl x 0,355lt</t>
  </si>
  <si>
    <t>8.52 Liter</t>
  </si>
  <si>
    <t>Einbecker Ur-Bock Hell MW 20Fl x 0,33lt</t>
  </si>
  <si>
    <t>Erdinger Hefeweizen Hell 20Fl x 0,5lt</t>
  </si>
  <si>
    <t>Flensburger Dunkel MW 20Fl x 0,33lt</t>
  </si>
  <si>
    <t>Franziskaner Hefe Hell 20Fl x 0,5lt</t>
  </si>
  <si>
    <t>Heineken Bier 24Ds x 0,33lt</t>
  </si>
  <si>
    <t>Jever Fun alkoholfrei MW 24Fl x 0,33lt</t>
  </si>
  <si>
    <t>Jever Pilsener 24Fl x 0,33lt</t>
  </si>
  <si>
    <t>Pilsener Urquell 24Fl x 0,33lt</t>
  </si>
  <si>
    <t>Stoertebeker Schwarzbier 18Fl x 0,50lt</t>
  </si>
  <si>
    <t>9 Liter</t>
  </si>
  <si>
    <t>Augustiner Lagerbier Hell MW 20Fl x 0,5l</t>
  </si>
  <si>
    <t>Beck´s Pils 24Fl x 0,33lt</t>
  </si>
  <si>
    <t>Berliner Kindl Weisse MW 20Fl x 0,33lt</t>
  </si>
  <si>
    <t>Bitburger Bier 24Ds x 0,33lt</t>
  </si>
  <si>
    <t>Budweiser Budvar 24Ds x 0,33lt</t>
  </si>
  <si>
    <t>Budweiser Budvar 24Fl x 0,33lt</t>
  </si>
  <si>
    <t>Club Mate Original 20FL x 0,5ltr</t>
  </si>
  <si>
    <t>Cody´s Bier 24Ds x 0,33lt</t>
  </si>
  <si>
    <t>Cody´s Bier Extra Superstrong 24Dsx0,5l</t>
  </si>
  <si>
    <t>Diebel´s Alt 24Fl x 0,33lt</t>
  </si>
  <si>
    <t>Flensburger Pilsener MW 20Fl x 0,33lt</t>
  </si>
  <si>
    <t>Franziskaner Kristallklar 20Fl x 0,5ltr</t>
  </si>
  <si>
    <t>Frueh Koelsch MW 20Fl x 0,50lt</t>
  </si>
  <si>
    <t>Gösser Naturradler 20Fl x 0,50ltr</t>
  </si>
  <si>
    <t>Guinness Extra Stout 24Fl x 0,33ltr</t>
  </si>
  <si>
    <t>Heineken Bier 24Fl x 0,33lt</t>
  </si>
  <si>
    <t>Krombacher Pils 24Ds x 0,33lt</t>
  </si>
  <si>
    <t>Maisel´s Dunkel MW 20Fl x 0,5l</t>
  </si>
  <si>
    <t>Maisel´s Hefeweizen Hell MW 20Fl x 0,5l</t>
  </si>
  <si>
    <t>Mönchshof Pils MW 20Flx0,5l BV</t>
  </si>
  <si>
    <t>Paulaner Hefeweizen Dunkel 20Fl x 0,5lt</t>
  </si>
  <si>
    <t>Paulaner Hefeweizen naturtr. 20Flx0,5lt</t>
  </si>
  <si>
    <t>Paulaner Original Münchner 20FL x 0,50ltr</t>
  </si>
  <si>
    <t>Peroni Nastro Azzurro Bier 24FL x 0,33lt</t>
  </si>
  <si>
    <t>Radeberger Pilsener 24Fl x 0,33lt</t>
  </si>
  <si>
    <t>Rothaus Tannenzaepfle MW 24Fl x 0,33lt</t>
  </si>
  <si>
    <t>Schoefferhofer Hefeweizen MW 20Fl x 0,5l</t>
  </si>
  <si>
    <t>Schöfferhofer Grapefruit MW 24Flx0,33lt</t>
  </si>
  <si>
    <t>Stoertebeker Atlantik Ale 18Fl x 0,5l</t>
  </si>
  <si>
    <t>Stoertebeker Bernstein-Weizen 20Flx0,50l</t>
  </si>
  <si>
    <t>Stoertebeker Kellerbier Bio 1402 18Flx0,5l</t>
  </si>
  <si>
    <t>Warsteiner Export 24Ds x 0,33lt</t>
  </si>
  <si>
    <t>Warsteiner Premium Pilsener 24Fl x 0,33l</t>
  </si>
  <si>
    <t>Bier alkoholfrei</t>
  </si>
  <si>
    <t>Beck´s Blue Alkoholfrei 24Fl x 0,33lt</t>
  </si>
  <si>
    <t>Erdinger Weissbier alkoholfrei 20 Fl x 0,50ltr</t>
  </si>
  <si>
    <t>Franziskaner alkoholfrei, 20FL x 0,5ltr</t>
  </si>
  <si>
    <t>Krombacher alkoholfrei 0,0%, 24Fl x 0,33ltr</t>
  </si>
  <si>
    <t>Paulaner Hefeweizen alkoholfrei20Flx0,5l 0,0%</t>
  </si>
  <si>
    <t>Störtebecker Freibier alkoholfrei 18Fl x 0,50ltr</t>
  </si>
  <si>
    <t>1 KT</t>
  </si>
  <si>
    <t>Warsteiner alkoholfrei 24Flx33cl</t>
  </si>
  <si>
    <t>Getränkepulver</t>
  </si>
  <si>
    <t>ELKOS</t>
  </si>
  <si>
    <t>VIVEDE Brausetabletten Calcium 17er</t>
  </si>
  <si>
    <t>12 Rollen</t>
  </si>
  <si>
    <t>VIVEDE Brausetabletten Magnesium 17er</t>
  </si>
  <si>
    <t>VIVEDE Brausetabletten Multivitamin 17er</t>
  </si>
  <si>
    <t>VIVEDE Brausetabletten Vitamin C 17er</t>
  </si>
  <si>
    <t xml:space="preserve">Teegetraenk Zitrone   </t>
  </si>
  <si>
    <t xml:space="preserve">Wildfrucht-Teegetraenk   </t>
  </si>
  <si>
    <t>Filterkaffee</t>
  </si>
  <si>
    <t xml:space="preserve">Illy Caffe macinato Espresso, rote Dose   </t>
  </si>
  <si>
    <t xml:space="preserve">Illy Caffe macinato Filter, rosa Dose   </t>
  </si>
  <si>
    <t>Tchibo Feine Milde gemahlen 4x250gr.</t>
  </si>
  <si>
    <t>Kaffee, gemahlen, 500gr</t>
  </si>
  <si>
    <t>DALLMAYR</t>
  </si>
  <si>
    <t xml:space="preserve">Ethiopia gemahlen   </t>
  </si>
  <si>
    <t xml:space="preserve">Prodomo   </t>
  </si>
  <si>
    <t>DALLMEYR</t>
  </si>
  <si>
    <t xml:space="preserve">Prodomo Kaffee entkoffeiniert   </t>
  </si>
  <si>
    <t>DARBOVEN</t>
  </si>
  <si>
    <t xml:space="preserve">Idee Kaffee Classic gemahlen   </t>
  </si>
  <si>
    <t xml:space="preserve">Idee Kaffee entkoffeiniert   </t>
  </si>
  <si>
    <t>Kaffee, gemahlen, 500gr Fairtrade 2x250gr</t>
  </si>
  <si>
    <t>EDUSCHO</t>
  </si>
  <si>
    <t>Filterkaffee Klassisch, 500gr</t>
  </si>
  <si>
    <t xml:space="preserve">Roestkaffee Gold entkoffeiniert gemahlen   </t>
  </si>
  <si>
    <t xml:space="preserve">Roestkaffee Gold gemahlen   </t>
  </si>
  <si>
    <t xml:space="preserve">Roestkaffee Naturmild gemahlen   </t>
  </si>
  <si>
    <t xml:space="preserve">Roestkaffee Unsere Empfehlung gemahlen   </t>
  </si>
  <si>
    <t>JACOBS</t>
  </si>
  <si>
    <t xml:space="preserve">Kaffee Meisterroestung gemahlen   </t>
  </si>
  <si>
    <t>Krönung Kaffee entkoffeiniert gemahlen</t>
  </si>
  <si>
    <t xml:space="preserve">Krönung Kaffee gemahlen   </t>
  </si>
  <si>
    <t>Krönung Kaffee kräftig gemahlen</t>
  </si>
  <si>
    <t>Krönung Kaffee mild gemahlen</t>
  </si>
  <si>
    <t>LAVAZZA</t>
  </si>
  <si>
    <t xml:space="preserve">Crema e Gusto gemahlen   </t>
  </si>
  <si>
    <t xml:space="preserve">Espresso Arabica gemahlen   </t>
  </si>
  <si>
    <t xml:space="preserve">Qualita Rossa   </t>
  </si>
  <si>
    <t>MELITTA</t>
  </si>
  <si>
    <t>Cafe Auslese gemahlen</t>
  </si>
  <si>
    <t xml:space="preserve">Cafe Auslese Mild   </t>
  </si>
  <si>
    <t xml:space="preserve">Cafe Harmonie entkoffeiniert   </t>
  </si>
  <si>
    <t>MOEVENPICK</t>
  </si>
  <si>
    <t xml:space="preserve">Kaffee, Der Himmlische   </t>
  </si>
  <si>
    <t>Bohnenkaffee</t>
  </si>
  <si>
    <t xml:space="preserve">Tchibo Barista Caffé Crema ganze Bohne   </t>
  </si>
  <si>
    <t xml:space="preserve">Tchibo Barista Espresso ganze Bohne   </t>
  </si>
  <si>
    <t xml:space="preserve">Tchibo Espresso Sizilianer Art, gz. Bohne   </t>
  </si>
  <si>
    <t xml:space="preserve">Tchibo Feine Milde ganze Bohne   </t>
  </si>
  <si>
    <t xml:space="preserve">Prodomo ganze Bohne   </t>
  </si>
  <si>
    <t xml:space="preserve">Caffe Crema ganze Bohne   </t>
  </si>
  <si>
    <t xml:space="preserve">Caffe Espresso ganze Bohne   </t>
  </si>
  <si>
    <t xml:space="preserve">Cafe Crema Classico   </t>
  </si>
  <si>
    <t xml:space="preserve">Espresso Crema E Aroma Bohne   </t>
  </si>
  <si>
    <t xml:space="preserve">Qualita Rossa ganze Bohnen   </t>
  </si>
  <si>
    <t xml:space="preserve">Cafe Crema ganze Bohne   </t>
  </si>
  <si>
    <t>Kaffeekapseln</t>
  </si>
  <si>
    <t>Nespresso-Kapselhalter / Ständer für 30 Kapseln, Metall, verchromt, Maße: 16x21x10cm</t>
  </si>
  <si>
    <t>1 Stück</t>
  </si>
  <si>
    <t>Capsa Lungo Belluno 5 (Nespresso) 10 St.</t>
  </si>
  <si>
    <t>Capsa Lungo Crema D`Oro 5 Nespresso 10St</t>
  </si>
  <si>
    <t>Capsa Lungo Mild Roast4 (Nespresso)10 St</t>
  </si>
  <si>
    <t>Kaffee Pads Classic 18x6,88gr</t>
  </si>
  <si>
    <t>112 Gramm</t>
  </si>
  <si>
    <t>Kaffee Pads Crema d'Oro Intensa 16x7gr</t>
  </si>
  <si>
    <t>Kaffee Pads Crema d'Oro mild&amp;fein 16x7gr</t>
  </si>
  <si>
    <t>Kaffee Pads Prodomo Naturmild16x7gr</t>
  </si>
  <si>
    <t>Kaffee Pads Prodomo16x7gr</t>
  </si>
  <si>
    <t xml:space="preserve">Kaffee Pads entkoffeiniert   </t>
  </si>
  <si>
    <t>Kaffee Pads Klassik  40er</t>
  </si>
  <si>
    <t>288 Gramm</t>
  </si>
  <si>
    <t xml:space="preserve">Kaffee Pads mild   </t>
  </si>
  <si>
    <t>Kapsel Espresso 20St. (Nespresso)</t>
  </si>
  <si>
    <t>Kapsel Lungo 20St. (Nespresso)</t>
  </si>
  <si>
    <t>Espresso Intenso 10 (Nespresso) 10 St.</t>
  </si>
  <si>
    <t>Kaffee Pads Crema 18 St.</t>
  </si>
  <si>
    <t>118 Gramm</t>
  </si>
  <si>
    <t>Kaffee Pads Kräftig 16 St.</t>
  </si>
  <si>
    <t>Kaffee Pads mild 18 St.</t>
  </si>
  <si>
    <t>NESPRESSO</t>
  </si>
  <si>
    <t xml:space="preserve">Kapsel Envivo Cape Town Lungo   </t>
  </si>
  <si>
    <t xml:space="preserve">Kapsel Espresso Capriccio   </t>
  </si>
  <si>
    <t xml:space="preserve">Kapsel Espresso Cosi   </t>
  </si>
  <si>
    <t xml:space="preserve">Kapsel Espresso Volluto   </t>
  </si>
  <si>
    <t xml:space="preserve">Kapsel Espresso Volluto Decaffeinato   </t>
  </si>
  <si>
    <t xml:space="preserve">Kapsel Ispirazione Firenze Arpeggio   </t>
  </si>
  <si>
    <t xml:space="preserve">Kapsel Ispirazione Firenze Arpeggio Decaffeinato   </t>
  </si>
  <si>
    <t xml:space="preserve">Kapsel Ispirazione Genova Livanto   </t>
  </si>
  <si>
    <t>Kapsel Ispirazione Italiano Ristretto Decaffeinato</t>
  </si>
  <si>
    <t xml:space="preserve">Kapsel Ispirazione Palermo Kazaar   </t>
  </si>
  <si>
    <t xml:space="preserve">Kapsel Ispirazione Ristretto Italiano   </t>
  </si>
  <si>
    <t xml:space="preserve">Kapsel Ispirazione Roma   </t>
  </si>
  <si>
    <t xml:space="preserve">Kapsel Master Orgin Colombia   </t>
  </si>
  <si>
    <t xml:space="preserve">Kapsel Master Orgin Ethiopia   </t>
  </si>
  <si>
    <t xml:space="preserve">Kapsel Master Orgin India   </t>
  </si>
  <si>
    <t xml:space="preserve">Kapsel Master Orgin Indonesia   </t>
  </si>
  <si>
    <t xml:space="preserve">Kapsel Master Orgin Nicaragua   </t>
  </si>
  <si>
    <t>Kapsel Rio de Janeiro Espresso</t>
  </si>
  <si>
    <t>0.006 Kilogramm</t>
  </si>
  <si>
    <t xml:space="preserve">Kapsel Stockholm Fortissio Lungo   </t>
  </si>
  <si>
    <t xml:space="preserve">Kapsel Tokyo Vivalto Lungo   </t>
  </si>
  <si>
    <t xml:space="preserve">Kapsel Variation Caramelito   </t>
  </si>
  <si>
    <t xml:space="preserve">Kapsel Variation Vanilio   </t>
  </si>
  <si>
    <t xml:space="preserve">Kapsel Vienna Linizio Lungo   </t>
  </si>
  <si>
    <t>SENSEO</t>
  </si>
  <si>
    <t>111 Gramm</t>
  </si>
  <si>
    <t>Pads Cappuccino 8er</t>
  </si>
  <si>
    <t>Pads extra strong 16er</t>
  </si>
  <si>
    <t>TASSIMO</t>
  </si>
  <si>
    <t>Caffe Crema mild 16er</t>
  </si>
  <si>
    <t>89.6 Gramm</t>
  </si>
  <si>
    <t>Espresso Classic 16er</t>
  </si>
  <si>
    <t>118.4 Gramm</t>
  </si>
  <si>
    <t>Jacobs Caffe Crema XL 16er</t>
  </si>
  <si>
    <t>Jacobs Cappuccino 16er</t>
  </si>
  <si>
    <t>264 Gramm</t>
  </si>
  <si>
    <t>Jacobs Chai Latte 8er</t>
  </si>
  <si>
    <t>Jacobs Sanft&amp;Mild 16er</t>
  </si>
  <si>
    <t>Milka Schokolade 8er</t>
  </si>
  <si>
    <t>240 Gramm</t>
  </si>
  <si>
    <t>Kaffee löslich</t>
  </si>
  <si>
    <t xml:space="preserve">Caro Instant Landkaffee   </t>
  </si>
  <si>
    <t xml:space="preserve">Maxwell Klassisch Instant Kaffee   </t>
  </si>
  <si>
    <t xml:space="preserve">Cappuccino Classic   </t>
  </si>
  <si>
    <t xml:space="preserve">Cappuccino Schokolade   </t>
  </si>
  <si>
    <t xml:space="preserve">Cappuccino weniger Süß   </t>
  </si>
  <si>
    <t xml:space="preserve">Gold instant   </t>
  </si>
  <si>
    <t xml:space="preserve">Gold Instant Kaffee entkoffeiniert   </t>
  </si>
  <si>
    <t>Becherportion 2in1 Classic 10St.</t>
  </si>
  <si>
    <t>Becherportion 3in1 Classic 10St.</t>
  </si>
  <si>
    <t xml:space="preserve">Cappuccino Instant   </t>
  </si>
  <si>
    <t>Cappuccino Specials Milka 8x18g</t>
  </si>
  <si>
    <t xml:space="preserve">Cappuccino Vanille   </t>
  </si>
  <si>
    <t xml:space="preserve">Kroenung Instant Kaffee   </t>
  </si>
  <si>
    <t>Krönung Gold Instant 20St.</t>
  </si>
  <si>
    <t>36 Gramm</t>
  </si>
  <si>
    <t>Momente Cappuccino classico 8x92,8g</t>
  </si>
  <si>
    <t>KAFFEE HAG</t>
  </si>
  <si>
    <t>Instand Kaffee HAG, klassisch mild</t>
  </si>
  <si>
    <t>0.1 Kilogramm</t>
  </si>
  <si>
    <t>KRUEGER</t>
  </si>
  <si>
    <t xml:space="preserve">Family Cappuccino White   </t>
  </si>
  <si>
    <t xml:space="preserve">Family Classico Cappuccino   </t>
  </si>
  <si>
    <t xml:space="preserve">Family Schoko-Cappuccino   </t>
  </si>
  <si>
    <t>KRÜGER</t>
  </si>
  <si>
    <t>Eiskaffee Instant 275 GR</t>
  </si>
  <si>
    <t>NESCAFE</t>
  </si>
  <si>
    <t xml:space="preserve">Cappuccino Cremig&amp;Zart   </t>
  </si>
  <si>
    <t>Cappuccino Cremig&amp;Zart 10x14 GR</t>
  </si>
  <si>
    <t xml:space="preserve">Cappuccino La Macchiato   </t>
  </si>
  <si>
    <t>Cappuccino weniger süß 10x12,5gr</t>
  </si>
  <si>
    <t xml:space="preserve">Dolce Gusto Cappuccino   </t>
  </si>
  <si>
    <t>Dolce Gusto Grande   16 Kapseln</t>
  </si>
  <si>
    <t>128 Gramm</t>
  </si>
  <si>
    <t>3 Beutel</t>
  </si>
  <si>
    <t xml:space="preserve">Dolce Gusto Latte Macchiato   </t>
  </si>
  <si>
    <t>194 Gramm</t>
  </si>
  <si>
    <t xml:space="preserve">Gold Instant Kaffee   </t>
  </si>
  <si>
    <t>Kakao</t>
  </si>
  <si>
    <t xml:space="preserve">Choco Drink   </t>
  </si>
  <si>
    <t>KABA</t>
  </si>
  <si>
    <t xml:space="preserve">Getränkepulver Bananengeschmack   </t>
  </si>
  <si>
    <t xml:space="preserve">Getränkepulver Erdbeergeschmack   </t>
  </si>
  <si>
    <t xml:space="preserve">Getränkepulver Vanillegeschmack   </t>
  </si>
  <si>
    <t xml:space="preserve">Kakaopulver Nachfuellbeutel   </t>
  </si>
  <si>
    <t>Gut&amp;Günstig Backkakao</t>
  </si>
  <si>
    <t>NESQUIK</t>
  </si>
  <si>
    <t xml:space="preserve">Kakaopulver   </t>
  </si>
  <si>
    <t xml:space="preserve">Kakaopulver im Nachfuellbeutel   </t>
  </si>
  <si>
    <t>Chocino 10x22g</t>
  </si>
  <si>
    <t xml:space="preserve">Feinste Heisse Schokolade   </t>
  </si>
  <si>
    <t>SUCHARD</t>
  </si>
  <si>
    <t xml:space="preserve">Express Kakaopulver NF-Beutel   </t>
  </si>
  <si>
    <t>Säfte</t>
  </si>
  <si>
    <t>ADELHOLZENER</t>
  </si>
  <si>
    <t xml:space="preserve">Active Fresh Cherry-Lime   </t>
  </si>
  <si>
    <t xml:space="preserve">Active Fresh Orange-Starfruit   </t>
  </si>
  <si>
    <t>Active O2  Fitness Apple/Kiwi</t>
  </si>
  <si>
    <t>Active O2  Fitness Cherry</t>
  </si>
  <si>
    <t>Active O2  Fitness Orange/Lemon</t>
  </si>
  <si>
    <t>Active O2  Fitness Pfirsich weisser Tee</t>
  </si>
  <si>
    <t>Active O2 Apfel</t>
  </si>
  <si>
    <t>Mineralwasser</t>
  </si>
  <si>
    <t>GEROLSTEINER</t>
  </si>
  <si>
    <t>Mineralwasser Sprudel 6Fl x 1,0ltr Glas</t>
  </si>
  <si>
    <t>6 Liter</t>
  </si>
  <si>
    <t xml:space="preserve">San Pellegrino PET   </t>
  </si>
  <si>
    <t>VOLVIC</t>
  </si>
  <si>
    <t xml:space="preserve">Bio Wasser mit Apfel, Zitrone, Ingwer   </t>
  </si>
  <si>
    <t xml:space="preserve">Bio Wasser mit Gurke, Minze, Basilikum   </t>
  </si>
  <si>
    <t>Mineralwasser Naturelle 6x1,5lt PET</t>
  </si>
  <si>
    <t>ALBI</t>
  </si>
  <si>
    <t xml:space="preserve">Ananas Nektar   </t>
  </si>
  <si>
    <t xml:space="preserve">Apfelsaft   </t>
  </si>
  <si>
    <t xml:space="preserve">Bananensaft   </t>
  </si>
  <si>
    <t xml:space="preserve">Direktsaft Birne   </t>
  </si>
  <si>
    <t xml:space="preserve">Direktsaft Traube Rot   </t>
  </si>
  <si>
    <t xml:space="preserve">Fruehstuecksdrink   </t>
  </si>
  <si>
    <t xml:space="preserve">Gemuesesaft   </t>
  </si>
  <si>
    <t xml:space="preserve">Granatapfelsaft   </t>
  </si>
  <si>
    <t xml:space="preserve">Guave-Maracuja   </t>
  </si>
  <si>
    <t xml:space="preserve">Heidelbeere   </t>
  </si>
  <si>
    <t xml:space="preserve">heimischer Apfeldirektsaft naturtrueb   </t>
  </si>
  <si>
    <t xml:space="preserve">Himbeer-Maracuja Nektar   </t>
  </si>
  <si>
    <t xml:space="preserve">Kirsch Nektar   </t>
  </si>
  <si>
    <t xml:space="preserve">Mango Maracuja Saft   </t>
  </si>
  <si>
    <t xml:space="preserve">Multivitamin Saft   </t>
  </si>
  <si>
    <t xml:space="preserve">Pfirsich-Maracuja Nektar   </t>
  </si>
  <si>
    <t xml:space="preserve">Pink Grapefruit   </t>
  </si>
  <si>
    <t xml:space="preserve">Tomatensaft   </t>
  </si>
  <si>
    <t>BECKERS BESTER</t>
  </si>
  <si>
    <t xml:space="preserve">Apfelsaft klar   </t>
  </si>
  <si>
    <t xml:space="preserve">Apfelsaft trueb   </t>
  </si>
  <si>
    <t xml:space="preserve">Fruehstuecksdirektsaft   </t>
  </si>
  <si>
    <t xml:space="preserve">Traube weiss   </t>
  </si>
  <si>
    <t xml:space="preserve">Traubensaft rot   </t>
  </si>
  <si>
    <t>CAPRI SUN</t>
  </si>
  <si>
    <t>Elfentrank 10 x 0,2 l</t>
  </si>
  <si>
    <t>Kirsch 10x0,2l</t>
  </si>
  <si>
    <t>Monster 10 x 0,2 l</t>
  </si>
  <si>
    <t>Multivitamin silber 10x0,2l</t>
  </si>
  <si>
    <t>Orange 10x0,2l</t>
  </si>
  <si>
    <t>Safari 10 x 0,2 l</t>
  </si>
  <si>
    <t>CHRISTKINDELS</t>
  </si>
  <si>
    <t xml:space="preserve">Kinderpunsch   </t>
  </si>
  <si>
    <t>Apfel Direktsaft Naturtrüb 100% Fruchtgehalt</t>
  </si>
  <si>
    <t xml:space="preserve">Bio Traubensaft   </t>
  </si>
  <si>
    <t xml:space="preserve">Direktsaft Ananas   </t>
  </si>
  <si>
    <t xml:space="preserve">Direktsaft Grapefruit   </t>
  </si>
  <si>
    <t xml:space="preserve">Direktsaft Orange   </t>
  </si>
  <si>
    <t xml:space="preserve">Direktsaft Tropical   </t>
  </si>
  <si>
    <t xml:space="preserve">Pflaumentrunk   </t>
  </si>
  <si>
    <t xml:space="preserve">Tomatensaft </t>
  </si>
  <si>
    <t xml:space="preserve">Karottensaft mit Honig   </t>
  </si>
  <si>
    <t xml:space="preserve">Aprikosen-Orangen-Nektar   </t>
  </si>
  <si>
    <t>Orangen Fruchtsaft 10x0,2l</t>
  </si>
  <si>
    <t xml:space="preserve">Orangensaft mit Fruchtfleisch   </t>
  </si>
  <si>
    <t>PFANNER</t>
  </si>
  <si>
    <t xml:space="preserve">Eistee Pfirsich   </t>
  </si>
  <si>
    <t xml:space="preserve">Eistee Zitrone   </t>
  </si>
  <si>
    <t xml:space="preserve">Fair Trade Mango   </t>
  </si>
  <si>
    <t xml:space="preserve">Fair Trade multi   </t>
  </si>
  <si>
    <t xml:space="preserve">Fair Trade Orange   </t>
  </si>
  <si>
    <t>RAUCH</t>
  </si>
  <si>
    <t xml:space="preserve">Happy Day Amarena Kirsche   </t>
  </si>
  <si>
    <t xml:space="preserve">Happy Day Banane   </t>
  </si>
  <si>
    <t xml:space="preserve">Happy Day Cranberrysaft   </t>
  </si>
  <si>
    <t xml:space="preserve">Happy Day Erdbeersaft   </t>
  </si>
  <si>
    <t xml:space="preserve">Happy Day Granatapfelsaft   </t>
  </si>
  <si>
    <t xml:space="preserve">Happy Day Mangosaft   </t>
  </si>
  <si>
    <t xml:space="preserve">Happy Day Maracuja Nektar   </t>
  </si>
  <si>
    <t xml:space="preserve">Happy Day Pfirsich   </t>
  </si>
  <si>
    <t xml:space="preserve">Happy Day Rhabarbersaft   </t>
  </si>
  <si>
    <t xml:space="preserve">Happy Day Schw. Johannisbeersaft   </t>
  </si>
  <si>
    <t>ROTBAECKCHEN</t>
  </si>
  <si>
    <t xml:space="preserve">Saft Immunstark   </t>
  </si>
  <si>
    <t>0.7 Liter</t>
  </si>
  <si>
    <t xml:space="preserve">Saft Klassik   </t>
  </si>
  <si>
    <t xml:space="preserve">Saft Lernstark   </t>
  </si>
  <si>
    <t>SIZILIA</t>
  </si>
  <si>
    <t xml:space="preserve">Bio Limettensaft Plus   </t>
  </si>
  <si>
    <t>SONNLAENDER</t>
  </si>
  <si>
    <t xml:space="preserve">Fliederbeersaft   </t>
  </si>
  <si>
    <t xml:space="preserve">Orangen Nektar   </t>
  </si>
  <si>
    <t>Sirup</t>
  </si>
  <si>
    <t xml:space="preserve">Bols Grenadine   </t>
  </si>
  <si>
    <t xml:space="preserve">Holunderblütensirup   </t>
  </si>
  <si>
    <t xml:space="preserve">Waldmeistersirup   </t>
  </si>
  <si>
    <t>MONIN</t>
  </si>
  <si>
    <t>Bar-Sirup Amaretto</t>
  </si>
  <si>
    <t xml:space="preserve">Bar-Sirup Chocolate braun   </t>
  </si>
  <si>
    <t xml:space="preserve">Bar-Sirup Curacao blau   </t>
  </si>
  <si>
    <t xml:space="preserve">Bar-Sirup Granatapfel   </t>
  </si>
  <si>
    <t xml:space="preserve">Bar-Sirup Grenadine   </t>
  </si>
  <si>
    <t>Bar-Sirup Grenadine, 250ml</t>
  </si>
  <si>
    <t>Bar-Sirup Himbeere</t>
  </si>
  <si>
    <t xml:space="preserve">Bar-Sirup Holunderbluete   </t>
  </si>
  <si>
    <t>Bar-Sirup Holunderbluete, 250ml</t>
  </si>
  <si>
    <t>Bar-Sirup Karamel</t>
  </si>
  <si>
    <t>Bar-Sirup Lebkuchen</t>
  </si>
  <si>
    <t xml:space="preserve">Bar-Sirup Macadamia Nuss   </t>
  </si>
  <si>
    <t xml:space="preserve">Bar-Sirup Mandel   </t>
  </si>
  <si>
    <t xml:space="preserve">Bar-Sirup Mango   </t>
  </si>
  <si>
    <t xml:space="preserve">Bar-Sirup Mojito Mint   </t>
  </si>
  <si>
    <t xml:space="preserve">Bar-Sirup Orange   </t>
  </si>
  <si>
    <t>Bar-Sirup Pefferminz</t>
  </si>
  <si>
    <t xml:space="preserve">Bar-Sirup schwarze Johannisbeer   </t>
  </si>
  <si>
    <t xml:space="preserve">Bar-Sirup Vanille   </t>
  </si>
  <si>
    <t>Bar-Sirup Vanille, 250ml</t>
  </si>
  <si>
    <t>Bar-Sirup Waldmeister</t>
  </si>
  <si>
    <t>Bar-Sirup Zimt</t>
  </si>
  <si>
    <t xml:space="preserve">Lime Juice Cordial, Konzentrat, Barmixer   </t>
  </si>
  <si>
    <t xml:space="preserve">Kirschsirup   </t>
  </si>
  <si>
    <t xml:space="preserve">Amarena Kirsch-sauce   </t>
  </si>
  <si>
    <t xml:space="preserve">Erdbeersoße   </t>
  </si>
  <si>
    <t>Schaumwein</t>
  </si>
  <si>
    <t>Bürgerspital, Sekt Riesling brut, VdP. Sekt, weiss</t>
  </si>
  <si>
    <t>3 Flaschen</t>
  </si>
  <si>
    <t>Mumm Dry 0,75ltr alkoholfrei</t>
  </si>
  <si>
    <t>6 Flasche</t>
  </si>
  <si>
    <t xml:space="preserve">Asti Cinzano   </t>
  </si>
  <si>
    <t xml:space="preserve">Asti Spumante DOCG Salena   </t>
  </si>
  <si>
    <t xml:space="preserve">Bollinger, Special Cuvée, Brut, weiß   </t>
  </si>
  <si>
    <t>Brut Dargent Chardoonay weiß</t>
  </si>
  <si>
    <t>Brut Dargent Pinot Noir rosé</t>
  </si>
  <si>
    <t xml:space="preserve">Finca de la Vega Cava seco   </t>
  </si>
  <si>
    <t xml:space="preserve">Finca de la Vega Cava semi seco   </t>
  </si>
  <si>
    <t xml:space="preserve">Freixenet Carta Nevada Seco   </t>
  </si>
  <si>
    <t xml:space="preserve">Freixenet Carta Nevada Semi-Seco   </t>
  </si>
  <si>
    <t xml:space="preserve">Freixenet Cordon Negro Brut   </t>
  </si>
  <si>
    <t xml:space="preserve">Freixenet Cordon Rosado brut   </t>
  </si>
  <si>
    <t xml:space="preserve">Frizz. Prosecco IGT Blaugl.   </t>
  </si>
  <si>
    <t xml:space="preserve">Fuerst von Metternich Rosé Trocken   </t>
  </si>
  <si>
    <t xml:space="preserve">Fuerst von Metternich Trocken   </t>
  </si>
  <si>
    <t xml:space="preserve">Geldermann Sekt Brut weiss   </t>
  </si>
  <si>
    <t xml:space="preserve">Geldermann Sekt Rosé   </t>
  </si>
  <si>
    <t xml:space="preserve">Henkell Trocken   </t>
  </si>
  <si>
    <t xml:space="preserve">Henkell Trocken Piccolo   </t>
  </si>
  <si>
    <t>0.2 Liter</t>
  </si>
  <si>
    <t xml:space="preserve">Henkell Trocken rose   </t>
  </si>
  <si>
    <t xml:space="preserve">Jacob´s Creek, Sparkling Wine, Chardonnay / Pinot Noir  </t>
  </si>
  <si>
    <t xml:space="preserve">Jules Mumm Medium Dry   </t>
  </si>
  <si>
    <t xml:space="preserve">Krim Royal dry white   </t>
  </si>
  <si>
    <t xml:space="preserve">Krim Royal, medium dry, white   </t>
  </si>
  <si>
    <t xml:space="preserve">Lanson Black Label Champagner   </t>
  </si>
  <si>
    <t xml:space="preserve">Lanson, Rosé Label, Brut   </t>
  </si>
  <si>
    <t xml:space="preserve">Laurent Perrier Brut   </t>
  </si>
  <si>
    <t>Laurent-Perrier, Cuvée Rosé, Champagne, AOC, brut, rosé</t>
  </si>
  <si>
    <t xml:space="preserve">Louis Bouillot, Perle de Vigne, Crémant de Bourgogne, AOC, brut, weiß  </t>
  </si>
  <si>
    <t xml:space="preserve">Louis Roederer Brut Premier   </t>
  </si>
  <si>
    <t xml:space="preserve">Martini Prosecco Vino Frizzante   </t>
  </si>
  <si>
    <t>Mionetto, Prosecco Spumante, Valdobbiadene Superiore, DOCG, extra dry, weiß</t>
  </si>
  <si>
    <t xml:space="preserve">6 </t>
  </si>
  <si>
    <t xml:space="preserve">Moet &amp; Chandon Brut Ice Imperial   </t>
  </si>
  <si>
    <t xml:space="preserve">Moet &amp; Chandon Brut Imperial   </t>
  </si>
  <si>
    <t xml:space="preserve">Moet &amp; Chandon Dom Perignon Brut   </t>
  </si>
  <si>
    <t xml:space="preserve">Moet &amp; Chandon, Vintage Rosé, rosé   </t>
  </si>
  <si>
    <t xml:space="preserve">Mumm Dry   </t>
  </si>
  <si>
    <t xml:space="preserve">Mumm Dry Piccolo   </t>
  </si>
  <si>
    <t xml:space="preserve">Mumm Dry Rosé   </t>
  </si>
  <si>
    <t xml:space="preserve">Mumm Extra Dry   </t>
  </si>
  <si>
    <t xml:space="preserve">Nicolas Feuillatte Brut Réserve, white   </t>
  </si>
  <si>
    <t xml:space="preserve">Nicolas Feuillatte demi-sec, white   </t>
  </si>
  <si>
    <t xml:space="preserve">Nicolas Feuillatte, Brut Réserve, white   </t>
  </si>
  <si>
    <t xml:space="preserve">Piper-Heidsieck Cuvée Brut   </t>
  </si>
  <si>
    <t xml:space="preserve">Pommery Brut Royal, white   </t>
  </si>
  <si>
    <t xml:space="preserve">Pommery, Brut Rosé   </t>
  </si>
  <si>
    <t xml:space="preserve">Pommery, Brut Royal, brut, white   </t>
  </si>
  <si>
    <t xml:space="preserve">Prosecco Frizzante Gioiosa DOC   </t>
  </si>
  <si>
    <t xml:space="preserve">Prosecco Jossello, blaue Flasche   </t>
  </si>
  <si>
    <t xml:space="preserve">Rotkaeppchen Fruchtsecco Granatapfel   </t>
  </si>
  <si>
    <t xml:space="preserve">Rotkaeppchen Fruchtsecco Himbeere   </t>
  </si>
  <si>
    <t xml:space="preserve">Rotkaeppchen Fruchtsecco Mango   </t>
  </si>
  <si>
    <t xml:space="preserve">Rotkaeppchen halbtrocken   </t>
  </si>
  <si>
    <t xml:space="preserve">Rotkaeppchen Rosé   </t>
  </si>
  <si>
    <t xml:space="preserve">Rotkaeppchen Rubin halbtrocken   </t>
  </si>
  <si>
    <t xml:space="preserve">Rotkaeppchen Trocken   </t>
  </si>
  <si>
    <t xml:space="preserve">Scavi &amp; Ray Prosecco   </t>
  </si>
  <si>
    <t xml:space="preserve">Schloss Koenigstein Rose   </t>
  </si>
  <si>
    <t xml:space="preserve">Schloss Koenigstein trocken   </t>
  </si>
  <si>
    <t xml:space="preserve">Taittinger Brut Réserve   </t>
  </si>
  <si>
    <t>Veuve Clicquot Brut, AOC, rosé</t>
  </si>
  <si>
    <t xml:space="preserve">Veuve Clicquot Brut, white   </t>
  </si>
  <si>
    <t>Villa Sandi, Il Fesco, Prosecco Spumante, DOC, extra trocken, weiß</t>
  </si>
  <si>
    <t xml:space="preserve">Villa Sandi, Il Fresco, Prosecco Frizzante, DOC, trocken, weiß  </t>
  </si>
  <si>
    <t>WHITEWINE / IT</t>
  </si>
  <si>
    <t xml:space="preserve">Prosecco Frizzante Giolano IGT   </t>
  </si>
  <si>
    <t>Schaumwein alkoholfrei</t>
  </si>
  <si>
    <t xml:space="preserve">Freixenet Legero Sekt Alkoholfrei   </t>
  </si>
  <si>
    <t xml:space="preserve">Light Live Hugo Alkoholfrei   </t>
  </si>
  <si>
    <t xml:space="preserve">Light Live Sekt Rosé Alkoholfrei   </t>
  </si>
  <si>
    <t xml:space="preserve">Light Live Sekt Weiss Alkoholfrei   </t>
  </si>
  <si>
    <t xml:space="preserve">Rotkaeppchen Sekt Weiss Alkoholfrei   </t>
  </si>
  <si>
    <t xml:space="preserve">Rotkaeppchen Sekt, Rosé, alkfrei   </t>
  </si>
  <si>
    <t>Sherry</t>
  </si>
  <si>
    <t>SHERRY</t>
  </si>
  <si>
    <t xml:space="preserve">Dry Sack Sherry Medium Dry   </t>
  </si>
  <si>
    <t xml:space="preserve">Gonzalez Byass Tio Pepe Sherry extra dry   </t>
  </si>
  <si>
    <t xml:space="preserve">Harveys Bristol Cream   </t>
  </si>
  <si>
    <t>Port</t>
  </si>
  <si>
    <t>PORTWEIN</t>
  </si>
  <si>
    <t xml:space="preserve">Astrada Tawny Portwein   </t>
  </si>
  <si>
    <t xml:space="preserve">Cockburn´s Special Reserve   </t>
  </si>
  <si>
    <t xml:space="preserve">Graham´s LBV - late bottled vintage   </t>
  </si>
  <si>
    <t>Graham´s Tawny Port 20YO</t>
  </si>
  <si>
    <t xml:space="preserve">Offley Ruby, rubinrot   </t>
  </si>
  <si>
    <t xml:space="preserve">Royal Oporto Portwein   </t>
  </si>
  <si>
    <t xml:space="preserve">Sandeman Fine Ruby, rubinrot   </t>
  </si>
  <si>
    <t xml:space="preserve">Sandeman Fine Tawny   </t>
  </si>
  <si>
    <t xml:space="preserve">Sandeman Fine White, pale, hellgelb   </t>
  </si>
  <si>
    <t xml:space="preserve">Sandeman Founders Reserve, braunrot   </t>
  </si>
  <si>
    <t>Taylor´s Portwein, 10YO, braunrot</t>
  </si>
  <si>
    <t>Wermut</t>
  </si>
  <si>
    <t>VERMOUTH</t>
  </si>
  <si>
    <t xml:space="preserve">Cinzano Extra Dry   </t>
  </si>
  <si>
    <t xml:space="preserve">Cinzano Rosso   </t>
  </si>
  <si>
    <t xml:space="preserve">Martini Bianco   </t>
  </si>
  <si>
    <t xml:space="preserve">Martini Extra Dry   </t>
  </si>
  <si>
    <t xml:space="preserve">Martini Rosato (Rose)   </t>
  </si>
  <si>
    <t>Martini Rosato (Rose)</t>
  </si>
  <si>
    <t xml:space="preserve">Martini Rosso   </t>
  </si>
  <si>
    <t xml:space="preserve">Noilly Prat Vermouth   </t>
  </si>
  <si>
    <t>Softdrinks</t>
  </si>
  <si>
    <t>Krombacher Spezi - Cola-Orange-Mix, 24Ds x 0,33ltr</t>
  </si>
  <si>
    <t>Coca Cola 24 Ds x 0,33lt</t>
  </si>
  <si>
    <t>Cody´s Energy Drink Citron 24Ds x 0,25l</t>
  </si>
  <si>
    <t>Cody´s Energy Drink Classic 24Ds x 0,25l</t>
  </si>
  <si>
    <t>Cody´s Energy Drink Coffee 24Ds x 0,25l</t>
  </si>
  <si>
    <t>Cody´s Energy Drink Zero 24Ds x 0,25l</t>
  </si>
  <si>
    <t>Cody´s Malta Malzbier 24Ds x 0,33lt</t>
  </si>
  <si>
    <t>Fanta Orange 24 Ds x 0,33lt</t>
  </si>
  <si>
    <t>Pepsi Cola 24 Ds x 0,33 ltr</t>
  </si>
  <si>
    <t>Red Bull  24Ds x 0,25lt</t>
  </si>
  <si>
    <t xml:space="preserve">Schweppes Bitter Lemon PET   </t>
  </si>
  <si>
    <t>1.25 Liter</t>
  </si>
  <si>
    <t>Sprite Lemon-Lime, 24 Ds x 0,33lt</t>
  </si>
  <si>
    <t>Thomas Henry Spicy Ginger</t>
  </si>
  <si>
    <t xml:space="preserve">Thomas Henry Tonic Water   </t>
  </si>
  <si>
    <t>Vitamalz 20Fl x 0,5lt</t>
  </si>
  <si>
    <t>ROBBYBUBBLE</t>
  </si>
  <si>
    <t xml:space="preserve">Jungle Kindersekt   </t>
  </si>
  <si>
    <t>SAN PELLEGRINO</t>
  </si>
  <si>
    <t>Aranciata 24 Ds x 0,33 lt</t>
  </si>
  <si>
    <t>Limonata 24 Ds x 0,33 lt</t>
  </si>
  <si>
    <t>Sanbitter ital. Aoeritif, alkoholfrei, 6 Fl x 0,098ltr</t>
  </si>
  <si>
    <t>0.59 Liter</t>
  </si>
  <si>
    <t>SCHWEPPES</t>
  </si>
  <si>
    <t xml:space="preserve">Russian Wild Berry   </t>
  </si>
  <si>
    <t>Tonic Water 6x1,25ltr</t>
  </si>
  <si>
    <t>7.5 Liter</t>
  </si>
  <si>
    <t>Vodka</t>
  </si>
  <si>
    <t>GIN</t>
  </si>
  <si>
    <t>King Robert II Vodka 43% 1L</t>
  </si>
  <si>
    <t>VODKA</t>
  </si>
  <si>
    <t>Absolut Vodka 100</t>
  </si>
  <si>
    <t xml:space="preserve">Absolut Vodka Blue   </t>
  </si>
  <si>
    <t>0.05 Liter</t>
  </si>
  <si>
    <t>192 Flaschen</t>
  </si>
  <si>
    <t>1.75 Liter</t>
  </si>
  <si>
    <t xml:space="preserve">Absolut Vodka Citron   </t>
  </si>
  <si>
    <t xml:space="preserve">Absolut Vodka Peppar   </t>
  </si>
  <si>
    <t xml:space="preserve">Absolut Vodka Raspberri   </t>
  </si>
  <si>
    <t xml:space="preserve">Absolut Vodka Vanilia   </t>
  </si>
  <si>
    <t xml:space="preserve">Belvedere Vodka   </t>
  </si>
  <si>
    <t xml:space="preserve">Boris Jelzin Vodka   </t>
  </si>
  <si>
    <t xml:space="preserve">Ciroc Vodka   </t>
  </si>
  <si>
    <t xml:space="preserve">Crystal Head Vodka   </t>
  </si>
  <si>
    <t xml:space="preserve">Danzka Vodka Apple   </t>
  </si>
  <si>
    <t xml:space="preserve">Danzka Vodka Citron   </t>
  </si>
  <si>
    <t xml:space="preserve">Danzka Vodka Cranberyraz   </t>
  </si>
  <si>
    <t xml:space="preserve">Danzka Vodka Currant   </t>
  </si>
  <si>
    <t xml:space="preserve">Danzka Vodka Grapefruit   </t>
  </si>
  <si>
    <t xml:space="preserve">Danzka Vodka im Aluzylinder   </t>
  </si>
  <si>
    <t xml:space="preserve">Danzka Vodka Red Label   </t>
  </si>
  <si>
    <t>Finlandia 101</t>
  </si>
  <si>
    <t xml:space="preserve">Finlandia Cranberry Vodka   </t>
  </si>
  <si>
    <t xml:space="preserve">Finlandia Lime Vodka   </t>
  </si>
  <si>
    <t xml:space="preserve">Finlandia Vodka   </t>
  </si>
  <si>
    <t xml:space="preserve">Fjodor Vodka   </t>
  </si>
  <si>
    <t xml:space="preserve">Gorbatschow Wodka Blue   </t>
  </si>
  <si>
    <t>Grasovka Bison Brand</t>
  </si>
  <si>
    <t xml:space="preserve">Grey Goose Vodka Original   </t>
  </si>
  <si>
    <t xml:space="preserve">Moskovskaya Osobaya   </t>
  </si>
  <si>
    <t xml:space="preserve">Nemiroff De Luxe   </t>
  </si>
  <si>
    <t xml:space="preserve">Nemiroff Original Wodka   </t>
  </si>
  <si>
    <t>Pure Divine Vodka</t>
  </si>
  <si>
    <t>3 Liter</t>
  </si>
  <si>
    <t>4 Flaschen</t>
  </si>
  <si>
    <t>Puschkin Vodka</t>
  </si>
  <si>
    <t xml:space="preserve">Puschkin Vodka Nuts Nougat   </t>
  </si>
  <si>
    <t xml:space="preserve">Puschkin Vodka Red Orange   </t>
  </si>
  <si>
    <t xml:space="preserve">Rammstein Feuer &amp; Wasser Wodka   </t>
  </si>
  <si>
    <t xml:space="preserve">Rasputin Wodka   </t>
  </si>
  <si>
    <t xml:space="preserve">Roberto Cavalli Vodka   </t>
  </si>
  <si>
    <t xml:space="preserve">Skyy Vodka   </t>
  </si>
  <si>
    <t xml:space="preserve">Smirnoff Wodka Blue   </t>
  </si>
  <si>
    <t xml:space="preserve">Smirnoff Wodka Red   </t>
  </si>
  <si>
    <t xml:space="preserve">Stolichnaya Vodka Red   </t>
  </si>
  <si>
    <t xml:space="preserve">Three Sixty Vodka   </t>
  </si>
  <si>
    <t xml:space="preserve">Wyborowa Wodka   </t>
  </si>
  <si>
    <t>Whisk(e)y</t>
  </si>
  <si>
    <t>King Robert II Blended Scotch Whisky 43% 1L</t>
  </si>
  <si>
    <t>WHISK(E)Y</t>
  </si>
  <si>
    <t>Aberlour 12yo, Malt Whisky</t>
  </si>
  <si>
    <t>Aberlour 16 Years Old</t>
  </si>
  <si>
    <t xml:space="preserve">Akashi Japanese Blended Whisky   </t>
  </si>
  <si>
    <t>An Cnoc 12y Highland Single Malt</t>
  </si>
  <si>
    <t>Auchentoshan 12yo, Lowland Single Malt</t>
  </si>
  <si>
    <t xml:space="preserve">Ballantine´s Finest   </t>
  </si>
  <si>
    <t>Balvenie 12 Years Old Doublewood</t>
  </si>
  <si>
    <t xml:space="preserve">Big Peat Islay Blended Malt   </t>
  </si>
  <si>
    <t xml:space="preserve">Black Velvet Canadian Whisky   </t>
  </si>
  <si>
    <t>Bowmore 12yo</t>
  </si>
  <si>
    <t xml:space="preserve">Buffalo Trace, Kentucky Straight Bourbon   </t>
  </si>
  <si>
    <t>Bunnahabhain 12yo  Islay Single Malt</t>
  </si>
  <si>
    <t>Bunnahabhain 18 Years Old</t>
  </si>
  <si>
    <t>Bunnahabhain 25 Years Old</t>
  </si>
  <si>
    <t xml:space="preserve">Bunnahabhain Eirigh Na Greine   </t>
  </si>
  <si>
    <t>Bunnahabhain Stiùireadair</t>
  </si>
  <si>
    <t xml:space="preserve">Bushmills Original   </t>
  </si>
  <si>
    <t>Bushmills Single Irish Malt Whiskey 10yo</t>
  </si>
  <si>
    <t>Canadian Club 6yo</t>
  </si>
  <si>
    <t>Caol Ila 12yo, Islay Single Malt Whisky</t>
  </si>
  <si>
    <t>Cardhu 12y Speyside Single Malt</t>
  </si>
  <si>
    <t>Chivas Regal 12 YO</t>
  </si>
  <si>
    <t>Dalwhinnie HIghland Single Malt 15YO</t>
  </si>
  <si>
    <t xml:space="preserve">Dalwhinnie Winter´s Gold   </t>
  </si>
  <si>
    <t xml:space="preserve">Dewar´s White Label   </t>
  </si>
  <si>
    <t xml:space="preserve">Finlagan Old Reserve Islay Single Malt   </t>
  </si>
  <si>
    <t xml:space="preserve">Finlagan Original Islay Single Malt   </t>
  </si>
  <si>
    <t xml:space="preserve">Four Roses   </t>
  </si>
  <si>
    <t xml:space="preserve">Glen Parker, Single Malt Scotch Whisky, Tube  </t>
  </si>
  <si>
    <t>Glenfiddich 18 Jahre</t>
  </si>
  <si>
    <t>Glenfiddich Malt 12YO</t>
  </si>
  <si>
    <t>Glenfiddich Perpetual Collection Vat 1</t>
  </si>
  <si>
    <t xml:space="preserve">12 </t>
  </si>
  <si>
    <t xml:space="preserve">1 </t>
  </si>
  <si>
    <t>Glenfiddich Perpetual Collection Vat 2</t>
  </si>
  <si>
    <t>12 Flasche</t>
  </si>
  <si>
    <t xml:space="preserve">Glenmorangie Signet, Highland Single Malt Scotch Whisky  </t>
  </si>
  <si>
    <t>Glenmorangie The Lasanta, extra matured in Cherry Casks, 12yo</t>
  </si>
  <si>
    <t>Glenmorangie The Nectar D´OR, extra matured in Sauternes Casks, 12yo</t>
  </si>
  <si>
    <t>Glenmorangie The Original 12yo</t>
  </si>
  <si>
    <t>Highland Park 18 yo, 43% 0,7L</t>
  </si>
  <si>
    <t>Highland Park Loyalty of the Wolf, 14 yo</t>
  </si>
  <si>
    <t>Highland Park Viking Honour 12yo</t>
  </si>
  <si>
    <t>Highland Park Wings of the Eagle 16 yo</t>
  </si>
  <si>
    <t xml:space="preserve">J&amp;B Rare   </t>
  </si>
  <si>
    <t xml:space="preserve">Jack Daniels Tennessee Whiskey   </t>
  </si>
  <si>
    <t xml:space="preserve">Jack Daniels Tennessee Whiskey PET   </t>
  </si>
  <si>
    <t>120 Flaschen</t>
  </si>
  <si>
    <t xml:space="preserve">Jim Beam White Bourbon   </t>
  </si>
  <si>
    <t xml:space="preserve">John Jameson   </t>
  </si>
  <si>
    <t xml:space="preserve">John Jameson, PET   </t>
  </si>
  <si>
    <t>Johnnie Walker Black Label 12YO</t>
  </si>
  <si>
    <t xml:space="preserve">Johnnie Walker Blue Label, Scotch Whisky   </t>
  </si>
  <si>
    <t xml:space="preserve">Johnnie Walker Double Black   </t>
  </si>
  <si>
    <t xml:space="preserve">Johnnie Walker Red Label   </t>
  </si>
  <si>
    <t xml:space="preserve">Johnnie Walker Red Label PET   </t>
  </si>
  <si>
    <t>Jura 13 Year Old, Island Single Malt Scotch Whisky, 40% 1L</t>
  </si>
  <si>
    <t>Jura The Paps 19 Years Old</t>
  </si>
  <si>
    <t>Jura The Road</t>
  </si>
  <si>
    <t>Jura White Oak Cask, 40%, 1 L</t>
  </si>
  <si>
    <t>Lagavulin Islay Malt 16YO</t>
  </si>
  <si>
    <t xml:space="preserve">Laphroaig, Quarter Cask, Tube   </t>
  </si>
  <si>
    <t>Mars Kasei, Geschenkverpackung</t>
  </si>
  <si>
    <t>Monkey Shoulder Whisky</t>
  </si>
  <si>
    <t xml:space="preserve">Monkey Shoulder Whisky   </t>
  </si>
  <si>
    <t xml:space="preserve">Old Bushmills Black Bush   </t>
  </si>
  <si>
    <t>Old Pulteney Single Malt Scotch 10y</t>
  </si>
  <si>
    <t>Old Pulteney Single Malt Scotch 16y</t>
  </si>
  <si>
    <t xml:space="preserve">Paddy Old Irish Whiskey   </t>
  </si>
  <si>
    <t>Proper No. Twelve by Conor McGregor</t>
  </si>
  <si>
    <t>Sir Edward´s Finest Blended Scotch</t>
  </si>
  <si>
    <t xml:space="preserve">Southern Comfort Bourbon-Whiskey-Liqueur   </t>
  </si>
  <si>
    <t>Talisker Malt Whisky 10yo</t>
  </si>
  <si>
    <t xml:space="preserve">Tamnavulin Tempranillo Cask Edition   </t>
  </si>
  <si>
    <t xml:space="preserve">Teachers Highland Cream   </t>
  </si>
  <si>
    <t xml:space="preserve">Teeling Small Batch Irish Whiskey   </t>
  </si>
  <si>
    <t xml:space="preserve">The Ardmore Traditional Peated   </t>
  </si>
  <si>
    <t xml:space="preserve">The Claymore, Scotch Whisky   </t>
  </si>
  <si>
    <t>The Dalmore 15YO, Single Highland Malt</t>
  </si>
  <si>
    <t xml:space="preserve">The Famous Grouse   </t>
  </si>
  <si>
    <t>The GlenDronach Forgue 10y</t>
  </si>
  <si>
    <t>The Glenlivet 18YO</t>
  </si>
  <si>
    <t xml:space="preserve">The Glenlivet Founder´s Reserve   </t>
  </si>
  <si>
    <t>The Singleton of Dufftown 15yo</t>
  </si>
  <si>
    <t>Togouchi Japanese Blended 15y</t>
  </si>
  <si>
    <t>Togouchi Japanese Blended Whisky 9 Jahre</t>
  </si>
  <si>
    <t>Tullamore Dew 12YO Irish Whiskey</t>
  </si>
  <si>
    <t xml:space="preserve">Tullamore Dew Original Irish Whiskey   </t>
  </si>
  <si>
    <t xml:space="preserve">Whyte and Mackay, Scotch Whisky   </t>
  </si>
  <si>
    <t>William Grant´s Triple Wood Scotch Whisky</t>
  </si>
  <si>
    <t xml:space="preserve">Woodford Reserve Kentucky Straight Rye   </t>
  </si>
  <si>
    <t xml:space="preserve">Yamazakura Japanese Blended Whisky   </t>
  </si>
  <si>
    <t>Speyside</t>
  </si>
  <si>
    <t>Single Malt</t>
  </si>
  <si>
    <t>Rum</t>
  </si>
  <si>
    <t>Ron Zacapa Solera Gran Reserva Rum 40% 1L</t>
  </si>
  <si>
    <t>RUM</t>
  </si>
  <si>
    <t>Angostura Rum, Gold, 5yo</t>
  </si>
  <si>
    <t>Appleton Rum Estate Rare Blend 12 Jahre</t>
  </si>
  <si>
    <t>Bacardi 10y Gran Reserva Ultra Rare Gold</t>
  </si>
  <si>
    <t>Bacardi Anejo 4 Cuatro</t>
  </si>
  <si>
    <t>Bacardi Limón</t>
  </si>
  <si>
    <t xml:space="preserve">Bacardi RAZZ   </t>
  </si>
  <si>
    <t>Bacardi Rum 8 Anos</t>
  </si>
  <si>
    <t xml:space="preserve">Bacardi Rum Carta Blanca   </t>
  </si>
  <si>
    <t xml:space="preserve">Bacardi Rum Carta Blanca PET   </t>
  </si>
  <si>
    <t>60 Flaschen</t>
  </si>
  <si>
    <t>Bacardi Rum Carta Negra (Black), 1L, 40%</t>
  </si>
  <si>
    <t xml:space="preserve">Bacardi Rum Carta Oro (Gold)   </t>
  </si>
  <si>
    <t xml:space="preserve">Bacardi Spiced (Oakheart)   </t>
  </si>
  <si>
    <t>Bumbu - The Original</t>
  </si>
  <si>
    <t>Bumbu XO</t>
  </si>
  <si>
    <t xml:space="preserve">Captain Morgan Black Spiced   </t>
  </si>
  <si>
    <t>Captain Morgan Dark Rum</t>
  </si>
  <si>
    <t xml:space="preserve">Captain Morgan Spiced Gold Rum   </t>
  </si>
  <si>
    <t xml:space="preserve">Captain Morgan White   </t>
  </si>
  <si>
    <t>DeadHead Rum 6 Years Old</t>
  </si>
  <si>
    <t xml:space="preserve">Don Papa Baroko - Rum von den Philippinen   </t>
  </si>
  <si>
    <t xml:space="preserve">Don Papa Masskara - Rum von den Philippinen   </t>
  </si>
  <si>
    <t>El Dorado Special 15 Years</t>
  </si>
  <si>
    <t xml:space="preserve">Hansen Rum Blau   </t>
  </si>
  <si>
    <t>Havana Club 3yo</t>
  </si>
  <si>
    <t>Havana Club 7 YO</t>
  </si>
  <si>
    <t>Havana Club 7yo</t>
  </si>
  <si>
    <t xml:space="preserve">Havana Club Anejo Especial   </t>
  </si>
  <si>
    <t xml:space="preserve">Havana Club Seleccion de Maestros   </t>
  </si>
  <si>
    <t>Malecon 10 Years Old Reserva Superior</t>
  </si>
  <si>
    <t>Malecon 12 Years Old Reserva Superior</t>
  </si>
  <si>
    <t>Malecon 15 Years Old Reserva Superior</t>
  </si>
  <si>
    <t>Malecon 18 Years Old Reserva Imperial</t>
  </si>
  <si>
    <t>Malecon 21 Years Old Reserva Imperial</t>
  </si>
  <si>
    <t>Malecon 25 Years Old Reserva Imperial</t>
  </si>
  <si>
    <t>Malecon 3 Years Old Carta Oro</t>
  </si>
  <si>
    <t>Malecon 8 Years Old Gran Reserva</t>
  </si>
  <si>
    <t>Malecon Extra Seco</t>
  </si>
  <si>
    <t>Malecon Miniaturenset 5 x 0,05L</t>
  </si>
  <si>
    <t>5 Sets</t>
  </si>
  <si>
    <t>1 Set</t>
  </si>
  <si>
    <t>Malecon Rare Proof 13 Years Small Batch</t>
  </si>
  <si>
    <t>Malecon Rare Proof 20 Years Small Batch</t>
  </si>
  <si>
    <t>Malecon Selección Esplendida 1982</t>
  </si>
  <si>
    <t>Malecon Selección Esplendida 1985</t>
  </si>
  <si>
    <t>Malecon Selección Esplendida 1987</t>
  </si>
  <si>
    <t xml:space="preserve">Mount Gay Eclipse Rum   </t>
  </si>
  <si>
    <t xml:space="preserve">Myer´s Original Dark Rum   </t>
  </si>
  <si>
    <t xml:space="preserve">Pott Rum   </t>
  </si>
  <si>
    <t xml:space="preserve">Rammstein Rum   </t>
  </si>
  <si>
    <t>Ron Botran 15y - Rum aus Guatemala</t>
  </si>
  <si>
    <t>Ron Botran 18y - Rum aus Guatemala</t>
  </si>
  <si>
    <t xml:space="preserve">Santos Dumont XO Elixir   </t>
  </si>
  <si>
    <t xml:space="preserve">Stroh Jagertee   </t>
  </si>
  <si>
    <t xml:space="preserve">Stroh Original Rum   </t>
  </si>
  <si>
    <t xml:space="preserve">The Kraken Black Spiced Rum   </t>
  </si>
  <si>
    <t>The Rum Box No. 1</t>
  </si>
  <si>
    <t>6 Box</t>
  </si>
  <si>
    <t>1 box</t>
  </si>
  <si>
    <t>Gin</t>
  </si>
  <si>
    <t xml:space="preserve">Bareksten Botanical Gin   </t>
  </si>
  <si>
    <t xml:space="preserve">Beefeater Dry Gin   </t>
  </si>
  <si>
    <t xml:space="preserve">Bloom London Dry Gin   </t>
  </si>
  <si>
    <t>BOAR Blackforest Premium Dry Gin</t>
  </si>
  <si>
    <t xml:space="preserve">Bokma Alter Genever   </t>
  </si>
  <si>
    <t xml:space="preserve">Bokma Jonge Graanjenever   </t>
  </si>
  <si>
    <t xml:space="preserve">Bombay Sapphire London Dry Gin   </t>
  </si>
  <si>
    <t xml:space="preserve">Bulldog Gin   </t>
  </si>
  <si>
    <t>Copperhead Black Batch Gin</t>
  </si>
  <si>
    <t>Copperhead The Original Gin</t>
  </si>
  <si>
    <t xml:space="preserve">Finsbury London Dry Gin   </t>
  </si>
  <si>
    <t>Gin 27</t>
  </si>
  <si>
    <t xml:space="preserve">Gin Mare, Mediterranean Gin   </t>
  </si>
  <si>
    <t xml:space="preserve">Gordons Dry Gin   </t>
  </si>
  <si>
    <t xml:space="preserve">Gordons Dry Gin PET   </t>
  </si>
  <si>
    <t xml:space="preserve">Gordons Pink Dry Gin   </t>
  </si>
  <si>
    <t xml:space="preserve">Greenall's Original London Dry Gin   </t>
  </si>
  <si>
    <t>Harahorn Gin aus Norwegen</t>
  </si>
  <si>
    <t xml:space="preserve">Hendrick´s Gin   </t>
  </si>
  <si>
    <t>King of Soho London Dry Gin</t>
  </si>
  <si>
    <t>King Robert II London Dry Gin 43% 1L</t>
  </si>
  <si>
    <t>Knut Hansen Dry Gin</t>
  </si>
  <si>
    <t>Lind &amp; Lime Gin, 44%, 0,7L</t>
  </si>
  <si>
    <t xml:space="preserve">London Hill Dry Gin   </t>
  </si>
  <si>
    <t xml:space="preserve">Marlborough Gin   </t>
  </si>
  <si>
    <t xml:space="preserve">MOM Gin   </t>
  </si>
  <si>
    <t>Monkey 47 Schwarzwald Dry Gin</t>
  </si>
  <si>
    <t>Needle Blackforest Gin</t>
  </si>
  <si>
    <t>Quarantini Red Gin, 0,5l, 42%</t>
  </si>
  <si>
    <t>Quarantini Social Black Gin, 0,5l, 42%</t>
  </si>
  <si>
    <t>Roku Suntory Japanese Gin</t>
  </si>
  <si>
    <t xml:space="preserve">Sakurao Japanese Dry Gin   </t>
  </si>
  <si>
    <t xml:space="preserve">Siegfried Rheinland Dry Gin   </t>
  </si>
  <si>
    <t xml:space="preserve">Spitzmund New Western Dry Gin   </t>
  </si>
  <si>
    <t>Tanqueray 0,0% alkoholfreier</t>
  </si>
  <si>
    <t>Tanqueray Blackcurrant Royale</t>
  </si>
  <si>
    <t>Tanqueray Flor de Sevilla</t>
  </si>
  <si>
    <t xml:space="preserve">Tanqueray No.Ten   </t>
  </si>
  <si>
    <t xml:space="preserve">Tanqueray Rangpur   </t>
  </si>
  <si>
    <t xml:space="preserve">Tanqueray Special Dry Gin   </t>
  </si>
  <si>
    <t xml:space="preserve">The Botanist Islay Dry Gin   </t>
  </si>
  <si>
    <t xml:space="preserve">THE DUKE - Munich Dry Gin   </t>
  </si>
  <si>
    <t>The London N°1, Original Blue Gin</t>
  </si>
  <si>
    <t>Whitley Neill Blood Orange Gin</t>
  </si>
  <si>
    <t xml:space="preserve">Whitley Neill Handcrafted Dry Gin </t>
  </si>
  <si>
    <t>Whitley Neill Rhubarb &amp; Ginger Gin</t>
  </si>
  <si>
    <t>Liköre</t>
  </si>
  <si>
    <t xml:space="preserve">Pallini Limoncello Liqueur   </t>
  </si>
  <si>
    <t xml:space="preserve">Villa Massa Limoncello Liqueur   </t>
  </si>
  <si>
    <t>LIQUEUR</t>
  </si>
  <si>
    <t>Abtshof Absinth 66</t>
  </si>
  <si>
    <t>2 Flaschen</t>
  </si>
  <si>
    <t xml:space="preserve">Amaretto di Amore Liqueur   </t>
  </si>
  <si>
    <t xml:space="preserve">Amarula Marula Fruit Cream Liqueur   </t>
  </si>
  <si>
    <t xml:space="preserve">Baileys Irish Cream   </t>
  </si>
  <si>
    <t xml:space="preserve">Baileys Irish Cream, PET   </t>
  </si>
  <si>
    <t>80 Flaschen</t>
  </si>
  <si>
    <t xml:space="preserve">Baileys Salted Caramel   </t>
  </si>
  <si>
    <t xml:space="preserve">Bärenjäger, Honiglikör   </t>
  </si>
  <si>
    <t xml:space="preserve">Batida de Coco, Coconut Liqueur   </t>
  </si>
  <si>
    <t xml:space="preserve">Behn Kleiner Feigling   </t>
  </si>
  <si>
    <t>0.02 Liter</t>
  </si>
  <si>
    <t>240 Flaschen</t>
  </si>
  <si>
    <t>30 Flaschen</t>
  </si>
  <si>
    <t>Benedictine DOM</t>
  </si>
  <si>
    <t xml:space="preserve">Berentzen Apfelkorn   </t>
  </si>
  <si>
    <t xml:space="preserve">Berentzen Maracuya   </t>
  </si>
  <si>
    <t xml:space="preserve">Berentzen Saurer Apfel   </t>
  </si>
  <si>
    <t xml:space="preserve">Berentzen Waldfrucht   </t>
  </si>
  <si>
    <t xml:space="preserve">Berentzen Waldmeister   </t>
  </si>
  <si>
    <t>Berentzen Wildkirsche, 16%, 0,7 L</t>
  </si>
  <si>
    <t xml:space="preserve">Berliner Luft, Pfefferminzlikör   </t>
  </si>
  <si>
    <t xml:space="preserve">Bols Advocaat Eierlikoer   </t>
  </si>
  <si>
    <t xml:space="preserve">Bols Apricot Brandy   </t>
  </si>
  <si>
    <t xml:space="preserve">Bols Cherry Brandy   </t>
  </si>
  <si>
    <t xml:space="preserve">Bols Creme de Bananas   </t>
  </si>
  <si>
    <t xml:space="preserve">Bols Creme de Cassis   </t>
  </si>
  <si>
    <t xml:space="preserve">Bols Curacao Blue   </t>
  </si>
  <si>
    <t xml:space="preserve">Bols Curacao Triple Sec   </t>
  </si>
  <si>
    <t xml:space="preserve">Bols Peppermint Green   </t>
  </si>
  <si>
    <t xml:space="preserve">Bols Strawberry   </t>
  </si>
  <si>
    <t xml:space="preserve">Bottega Nero, Chocolate &amp; Grappa Cream   </t>
  </si>
  <si>
    <t xml:space="preserve">Bottega Raspberry Cream Grappa Liqueur   </t>
  </si>
  <si>
    <t xml:space="preserve">Bottega, Crema di Limoncino   </t>
  </si>
  <si>
    <t xml:space="preserve">Bottega, Latte Macchiato   </t>
  </si>
  <si>
    <t xml:space="preserve">Bottega, Limoncino di Grappa   </t>
  </si>
  <si>
    <t xml:space="preserve">Brogans Irish Cream Liqueur   </t>
  </si>
  <si>
    <t xml:space="preserve">Cointreau   </t>
  </si>
  <si>
    <t xml:space="preserve">de Kuyper Creme de Cacao weiß   </t>
  </si>
  <si>
    <t xml:space="preserve">de Kuyper Triple Sec   </t>
  </si>
  <si>
    <t xml:space="preserve">DiSaronno Originale Amaretto   </t>
  </si>
  <si>
    <t xml:space="preserve">Drambuie Whisky Liqueur   </t>
  </si>
  <si>
    <t xml:space="preserve">Eckes Edelkirsch   </t>
  </si>
  <si>
    <t xml:space="preserve">Feeney's Irish Cream Liqueur   </t>
  </si>
  <si>
    <t xml:space="preserve">Fireball, Whisky Likör mit Zimt   </t>
  </si>
  <si>
    <t xml:space="preserve">Frangelico   </t>
  </si>
  <si>
    <t xml:space="preserve">Galliano L´Autentico   </t>
  </si>
  <si>
    <t xml:space="preserve">Galliano, ital. Vanillelikoer   </t>
  </si>
  <si>
    <t xml:space="preserve">Grand Marnier Cordon Rouge   </t>
  </si>
  <si>
    <t>Jack Daniel´s Tennessee Apple, 35%, 1 L</t>
  </si>
  <si>
    <t xml:space="preserve">Jack Daniel´s Tennessee Fire   </t>
  </si>
  <si>
    <t xml:space="preserve">Jack Daniel´s Tennessee Honey   </t>
  </si>
  <si>
    <t xml:space="preserve">Julischka; Birnenlikör   </t>
  </si>
  <si>
    <t>Kahlua Coffee Liqueur</t>
  </si>
  <si>
    <t>Kleiner Klopfer Feige 25x0,02lt</t>
  </si>
  <si>
    <t>Kleiner Klopfer Mix 25x0,02lt</t>
  </si>
  <si>
    <t>Kleiner Klopfer Pflaume 25x0,02lt</t>
  </si>
  <si>
    <t>Kleiner Klopfer Sahne Cream 25x0,02lt</t>
  </si>
  <si>
    <t>Kleiner Klopfer Sauerkirsch 25x0,02lt</t>
  </si>
  <si>
    <t xml:space="preserve">Kwai Feh Lychee Liqueur   </t>
  </si>
  <si>
    <t xml:space="preserve">Lachs Goldwasser   </t>
  </si>
  <si>
    <t>Licor 43</t>
  </si>
  <si>
    <t xml:space="preserve">Malibu Coconut Liqueur   </t>
  </si>
  <si>
    <t xml:space="preserve">Midori Melon Liqueur   </t>
  </si>
  <si>
    <t xml:space="preserve">Mozart Chocolate Cream Liqueur   </t>
  </si>
  <si>
    <t>Pampelle Ruby L'Apéro</t>
  </si>
  <si>
    <t xml:space="preserve">Passoa Passion Fruits Liqueur   </t>
  </si>
  <si>
    <t>Pimm´s Cup No. 1</t>
  </si>
  <si>
    <t xml:space="preserve">Pina Colada Cream   </t>
  </si>
  <si>
    <t xml:space="preserve">Sourz Mango Liqueur   </t>
  </si>
  <si>
    <t xml:space="preserve">Tia Maria   </t>
  </si>
  <si>
    <t xml:space="preserve">Verpoorten Original Eierlikoer   </t>
  </si>
  <si>
    <t>XUXU Erdbeer Limes</t>
  </si>
  <si>
    <t>Brandy</t>
  </si>
  <si>
    <t>BRANDY</t>
  </si>
  <si>
    <t xml:space="preserve">Asbach Uralt   </t>
  </si>
  <si>
    <t>Asbach Uralt 12 Fl. x 0,04ltr.</t>
  </si>
  <si>
    <t xml:space="preserve">Boulard Calvados Pays d´ Auge   </t>
  </si>
  <si>
    <t xml:space="preserve">Boulard Calvados XO   </t>
  </si>
  <si>
    <t xml:space="preserve">Calvados VSOP, Père Magloire,Pays d'Auge   </t>
  </si>
  <si>
    <t xml:space="preserve">Cardenal Mendoza Gran Reserva   </t>
  </si>
  <si>
    <t xml:space="preserve">Carlos I Brandy de Jeres   </t>
  </si>
  <si>
    <t xml:space="preserve">Chevalier Napoleon VSOP   </t>
  </si>
  <si>
    <t xml:space="preserve">Dauphine Fine Calvados Pays d´ Auge   </t>
  </si>
  <si>
    <t xml:space="preserve">Mariacron   </t>
  </si>
  <si>
    <t xml:space="preserve">Metaxa ** * **   </t>
  </si>
  <si>
    <t>Metaxa ** * ** 5 Star</t>
  </si>
  <si>
    <t xml:space="preserve">Metaxa *** * *** Amphora   </t>
  </si>
  <si>
    <t xml:space="preserve">Osborne Magno   </t>
  </si>
  <si>
    <t>Osborne Solera 103 Etiqueta Blanca</t>
  </si>
  <si>
    <t xml:space="preserve">Osborne Veterano   </t>
  </si>
  <si>
    <t xml:space="preserve">Pettersen XO   </t>
  </si>
  <si>
    <t xml:space="preserve">St.Remy Authentic VSOP   </t>
  </si>
  <si>
    <t>Stock 84 Brandy, Riserva VSOP</t>
  </si>
  <si>
    <t>Torres 10 Imperial Gran Reserva, 38%, 1L</t>
  </si>
  <si>
    <t xml:space="preserve">Vecchia Romagna Etichetta Nera   </t>
  </si>
  <si>
    <t>Aquavit</t>
  </si>
  <si>
    <t>AQUAVIT</t>
  </si>
  <si>
    <t xml:space="preserve">Aalborg Jubilaeums Akvavit   </t>
  </si>
  <si>
    <t xml:space="preserve">Aalborg Taffel Akvavit   </t>
  </si>
  <si>
    <t>Aalborg Taffel Akvavit</t>
  </si>
  <si>
    <t xml:space="preserve">Lysholm Linie Akvavit   </t>
  </si>
  <si>
    <t xml:space="preserve">Malteserkreuz Akvavit   </t>
  </si>
  <si>
    <t xml:space="preserve">Bommerlunder   </t>
  </si>
  <si>
    <t>Tequila</t>
  </si>
  <si>
    <t>TEQUILA</t>
  </si>
  <si>
    <t xml:space="preserve">El Jimador Blanco Tequila   </t>
  </si>
  <si>
    <t xml:space="preserve">El Jimador Reposado Tequila   </t>
  </si>
  <si>
    <t xml:space="preserve">Herradura Anejo Tequila   </t>
  </si>
  <si>
    <t xml:space="preserve">Herradura Blanco Tequila   </t>
  </si>
  <si>
    <t xml:space="preserve">Herradura Reposado Tequila   </t>
  </si>
  <si>
    <t xml:space="preserve">Montezuma Tequila Gold   </t>
  </si>
  <si>
    <t xml:space="preserve">Montezuma Tequila Silver   </t>
  </si>
  <si>
    <t xml:space="preserve">Patrón Tequila Anejo   </t>
  </si>
  <si>
    <t>Sierra 100% Agave Tequila Añejo 40% 0.7L</t>
  </si>
  <si>
    <t>Sierra 100% Agave Tequila Blanco 35% 0.7L</t>
  </si>
  <si>
    <t>Sierra 100% Agave Tequila Reposado 35% 0.7L</t>
  </si>
  <si>
    <t>Sierra Lime 18% 1L</t>
  </si>
  <si>
    <t xml:space="preserve">Sierra Tequila Reposado   </t>
  </si>
  <si>
    <t xml:space="preserve">Sierra Tequila Silver   </t>
  </si>
  <si>
    <t xml:space="preserve">Tequila José Cuervo Especial Gold   </t>
  </si>
  <si>
    <t>TEQULIA</t>
  </si>
  <si>
    <t>Padre azul Super Premium Tequila Blanco</t>
  </si>
  <si>
    <t>Padre azul Super Premium Tequila Reposado</t>
  </si>
  <si>
    <t>Patrón Tequila Reposado</t>
  </si>
  <si>
    <t>Patrón Tequila Silver</t>
  </si>
  <si>
    <t xml:space="preserve">Tequila José Cuervo Especial Silver   </t>
  </si>
  <si>
    <t>Tequila José Cuervo Reserva de la Familia Extra Anejo</t>
  </si>
  <si>
    <t>3 Flasche</t>
  </si>
  <si>
    <t>Tequila Rose Strawberry Cream Liqueur</t>
  </si>
  <si>
    <t>Cognac</t>
  </si>
  <si>
    <t xml:space="preserve">Janneau XO Royal   </t>
  </si>
  <si>
    <t>COGNAC</t>
  </si>
  <si>
    <t xml:space="preserve">Bache-Gabrielsen American Oak   </t>
  </si>
  <si>
    <t xml:space="preserve">Bache-Gabrielsen VSOP   </t>
  </si>
  <si>
    <t xml:space="preserve">Braastad XO Cognac   </t>
  </si>
  <si>
    <t xml:space="preserve">Brasstad VOSP   </t>
  </si>
  <si>
    <t>Camus VSOP</t>
  </si>
  <si>
    <t xml:space="preserve">Clés des Ducs VSOP Armagnac   </t>
  </si>
  <si>
    <t xml:space="preserve">Courvoisier VSOP   </t>
  </si>
  <si>
    <t xml:space="preserve">Hennessy VS   </t>
  </si>
  <si>
    <t xml:space="preserve">Hennessy VSOP </t>
  </si>
  <si>
    <t xml:space="preserve">Hennessy XO   </t>
  </si>
  <si>
    <t xml:space="preserve">Janneau VSOP   </t>
  </si>
  <si>
    <t>Martell VS Single Distillery Cognac</t>
  </si>
  <si>
    <t xml:space="preserve">Remy Martin VSOP   </t>
  </si>
  <si>
    <t>Remy Martin VSOP, 40% 0,7L</t>
  </si>
  <si>
    <t xml:space="preserve">Remy Martin XO Excellence   </t>
  </si>
  <si>
    <t xml:space="preserve">Renault carte Noire VSOP, Geschenkbox   </t>
  </si>
  <si>
    <t>Magenbitter &amp; Kräuter</t>
  </si>
  <si>
    <t>Fernet Branca 20FL x 0,02Ltr</t>
  </si>
  <si>
    <t>Kuemmerling Kraeuterlikoer 25Flx0,02l</t>
  </si>
  <si>
    <t>APERITIV</t>
  </si>
  <si>
    <t xml:space="preserve">Ricard   </t>
  </si>
  <si>
    <t xml:space="preserve">Riga Black Balsam Classic   </t>
  </si>
  <si>
    <t xml:space="preserve">Riga Black Balsam Currant   </t>
  </si>
  <si>
    <t>Underberg Schmuckdose 15x0,02lt.</t>
  </si>
  <si>
    <t>HERB LIQUEUR</t>
  </si>
  <si>
    <t xml:space="preserve">Jaegermeister Kraeuterlikoer   </t>
  </si>
  <si>
    <t>0.04 Liter</t>
  </si>
  <si>
    <t>96 Flaschen</t>
  </si>
  <si>
    <t>Underberg 30x0,02l</t>
  </si>
  <si>
    <t>Underberg 5x0,02l</t>
  </si>
  <si>
    <t xml:space="preserve">Wilthener Gebirgskraeuter   </t>
  </si>
  <si>
    <t xml:space="preserve">Zwack Unicum Bitter   </t>
  </si>
  <si>
    <t xml:space="preserve">Angostura Aromatic Bitters   </t>
  </si>
  <si>
    <t xml:space="preserve">Averna Amaro Siciliano   </t>
  </si>
  <si>
    <t xml:space="preserve">Becherovka Carlsbad   </t>
  </si>
  <si>
    <t>9 Flaschen</t>
  </si>
  <si>
    <t xml:space="preserve">Fernet Branca   </t>
  </si>
  <si>
    <t xml:space="preserve">Gammel Dansk Bitter Dram   </t>
  </si>
  <si>
    <t xml:space="preserve">Helbing Hamburgs feiner Kuemmel   </t>
  </si>
  <si>
    <t xml:space="preserve">Ramazzotti Amaro   </t>
  </si>
  <si>
    <t xml:space="preserve">Ramazzotti Aperitivo Rosato   </t>
  </si>
  <si>
    <t xml:space="preserve">Valhalla, Kräuterlikör mit Lakritz   </t>
  </si>
  <si>
    <t>... weitere</t>
  </si>
  <si>
    <t>Choya Sake, Reiswein aus Japan</t>
  </si>
  <si>
    <t xml:space="preserve">Lillet, French Aperitif, Blanc   </t>
  </si>
  <si>
    <t xml:space="preserve">Lillet, French Aperitif, Rosé   </t>
  </si>
  <si>
    <t xml:space="preserve">Lillet, French Aperitif, Rouge   </t>
  </si>
  <si>
    <t>Martini Floreale alkoholfrei</t>
  </si>
  <si>
    <t>Martini Vibrante alkoholfrei</t>
  </si>
  <si>
    <t>Sarti Rosa</t>
  </si>
  <si>
    <t>KAEFER</t>
  </si>
  <si>
    <t xml:space="preserve">Hugo Aperitivo Holunderbluete+Limette   </t>
  </si>
  <si>
    <t xml:space="preserve">Aperol   </t>
  </si>
  <si>
    <t xml:space="preserve">Campari Bitter   </t>
  </si>
  <si>
    <t xml:space="preserve">Pitu Cachaca   </t>
  </si>
  <si>
    <t>Korn &amp; Klare</t>
  </si>
  <si>
    <t>Ouzo 12</t>
  </si>
  <si>
    <t xml:space="preserve">Schinkenhaeger Steinkrug   </t>
  </si>
  <si>
    <t>Yeni Raki, 0,7L</t>
  </si>
  <si>
    <t>Yeni Raki, 1L</t>
  </si>
  <si>
    <t>GRAPPA</t>
  </si>
  <si>
    <t xml:space="preserve">Alexander Cru, Weißer Grappa   </t>
  </si>
  <si>
    <t xml:space="preserve">Badel Stara Sljivovica   </t>
  </si>
  <si>
    <t xml:space="preserve">Grappa Julia Invecchiata   </t>
  </si>
  <si>
    <t xml:space="preserve">Il Merlot di Nonino Grappa   </t>
  </si>
  <si>
    <t xml:space="preserve">Il Moscato di Nonino Grappa   </t>
  </si>
  <si>
    <t xml:space="preserve">Lo Chardonnay di Nonino Grappa barriques   </t>
  </si>
  <si>
    <t>HARD LIQUEUR</t>
  </si>
  <si>
    <t xml:space="preserve">Berentzen Doppelkorn   </t>
  </si>
  <si>
    <t xml:space="preserve">Molinari Sambuca Extra   </t>
  </si>
  <si>
    <t>Pastis 51</t>
  </si>
  <si>
    <t xml:space="preserve">Pernod   </t>
  </si>
  <si>
    <t xml:space="preserve">Raki Tekirdag   </t>
  </si>
  <si>
    <t xml:space="preserve">Raki Tekirdag Gold   </t>
  </si>
  <si>
    <t xml:space="preserve">Romana Sambuca White   </t>
  </si>
  <si>
    <t xml:space="preserve">Sambuca di Amore Liqueur   </t>
  </si>
  <si>
    <t>OBSTBRAND</t>
  </si>
  <si>
    <t xml:space="preserve">Loerch Alte Williams-Christ-Birne   </t>
  </si>
  <si>
    <t xml:space="preserve">Loerch Alter Mirabellenbrand   </t>
  </si>
  <si>
    <t xml:space="preserve">Pascall La Vieille Prune Pflaumenbrand   </t>
  </si>
  <si>
    <t xml:space="preserve">Schladerer Kirschwasser   </t>
  </si>
  <si>
    <t>Schladerer Miniaturbox 6x0,03lr.</t>
  </si>
  <si>
    <t xml:space="preserve">Schladerer Williamsbirne   </t>
  </si>
  <si>
    <t>OBSTLER</t>
  </si>
  <si>
    <t xml:space="preserve">Schwarzwälder Kirschwasser   </t>
  </si>
  <si>
    <t xml:space="preserve">Schwarzwälder Obstwasser   </t>
  </si>
  <si>
    <t>Teebeutel</t>
  </si>
  <si>
    <t>9-Kraeuter Tee 20x2gr</t>
  </si>
  <si>
    <t>Ceylon Assam Schwarztee-Mischung 50er</t>
  </si>
  <si>
    <t>Fencheltee 25x3 gr</t>
  </si>
  <si>
    <t>Fruechtetee 25x3 gr</t>
  </si>
  <si>
    <t>Hagebuttentee mit Hibiskus 25x3,5g</t>
  </si>
  <si>
    <t>Kamillentee 25x1,5 gr</t>
  </si>
  <si>
    <t>Pfefferminztee 25x2,25 gr</t>
  </si>
  <si>
    <t>MEßMER</t>
  </si>
  <si>
    <t>Bio Tee Alpenkräuter 20 St.</t>
  </si>
  <si>
    <t>Bio Tee Holunder Minze 20 St.</t>
  </si>
  <si>
    <t>Bio Tee Orange Ingwer 20 St.</t>
  </si>
  <si>
    <t>Bio Tee Rote Beeren 20 St.</t>
  </si>
  <si>
    <t>Brennesseltee 25X2gr</t>
  </si>
  <si>
    <t>Darjeeling 25 x 1,75 gr</t>
  </si>
  <si>
    <t>Earl Grey 22x1,75 gr</t>
  </si>
  <si>
    <t>Rotbusch-Wildkirsche 20x2gr</t>
  </si>
  <si>
    <t>ONNO BEHRENDS</t>
  </si>
  <si>
    <t>Ostfriesentee 50 Beutel</t>
  </si>
  <si>
    <t>TEEKANNE</t>
  </si>
  <si>
    <t>8 Kräuter 20 pc.</t>
  </si>
  <si>
    <t>Atme dich Frei Tee 20 St.</t>
  </si>
  <si>
    <t>Caramel Aplle Pie Tee 18 St.</t>
  </si>
  <si>
    <t>Chinesischer Senchatee 20 St.</t>
  </si>
  <si>
    <t>Darjeelingtee 24 St.</t>
  </si>
  <si>
    <t>Earl Grey 20er</t>
  </si>
  <si>
    <t>Fencheltee 40 St.</t>
  </si>
  <si>
    <t>Fix Fencheltee 20x3gr</t>
  </si>
  <si>
    <t>Fixapfel 20x3gr</t>
  </si>
  <si>
    <t>12 Kannen</t>
  </si>
  <si>
    <t>Fixbutte 20x3,5gr</t>
  </si>
  <si>
    <t>Fixfenchel/Anis/Kümmel 20x3 gr</t>
  </si>
  <si>
    <t>Fixmalve 20x2g</t>
  </si>
  <si>
    <t>Fixminze 20x2 gr</t>
  </si>
  <si>
    <t>Frecher Flirt Tee 20 St.</t>
  </si>
  <si>
    <t>Fruechte Genuss 20x3 gr</t>
  </si>
  <si>
    <t>Gesunde Abwehr Tee 20er</t>
  </si>
  <si>
    <t>Gluehfix 5x2g</t>
  </si>
  <si>
    <t>40 Pakete</t>
  </si>
  <si>
    <t>Gruener Tee 20x1,75 gr</t>
  </si>
  <si>
    <t>Grünertee 40 St.</t>
  </si>
  <si>
    <t>Heisse Liebe Tee 20 St.</t>
  </si>
  <si>
    <t>Heißer Hugo Tee 20 St.</t>
  </si>
  <si>
    <t>Hol dir Kraft Teemischung 20x2g</t>
  </si>
  <si>
    <t>Indischer Chai Tee 20er</t>
  </si>
  <si>
    <t>Ingwer Tee 18 St.</t>
  </si>
  <si>
    <t>Innere Ruhe Kräutermischung 20x2g</t>
  </si>
  <si>
    <t>Kamillen-Fenchel Tee 20 St.</t>
  </si>
  <si>
    <t>Kamillentee 20x1,5 gr</t>
  </si>
  <si>
    <t>Kamillentee 50 x 1,5gr.</t>
  </si>
  <si>
    <t>Kirschblütenfest Tee 20 St.</t>
  </si>
  <si>
    <t>Magenfein Kräutermischung 20x2g</t>
  </si>
  <si>
    <t>Marokkanische Minze 20x1,8gr.</t>
  </si>
  <si>
    <t>Mediterraner Pfisrich 20x2,5gr.</t>
  </si>
  <si>
    <t>Minz Tee 50 St.</t>
  </si>
  <si>
    <t>112.5 Gramm</t>
  </si>
  <si>
    <t>Minz Zitronen Tee 20 St.</t>
  </si>
  <si>
    <t>Multivitamin 20 Beutel</t>
  </si>
  <si>
    <t>Nero Tee 20er</t>
  </si>
  <si>
    <t>New York Chai Tee 20 St.</t>
  </si>
  <si>
    <t>Orgins Darjeeling 20x1,75gr.</t>
  </si>
  <si>
    <t>Orgins Schwarzer Tee Klassik 20 St.</t>
  </si>
  <si>
    <t>Ostfriesentee 50 St.</t>
  </si>
  <si>
    <t>Persischer Granatapfel 20x2,25gr.</t>
  </si>
  <si>
    <t>Prinzessin Lilifee Tee 20er</t>
  </si>
  <si>
    <t>Rooibos Orange 20er</t>
  </si>
  <si>
    <t>Rooibos Tee 20 St.</t>
  </si>
  <si>
    <t>Rooibos Tee Sahne Karamel Tee 20 St.</t>
  </si>
  <si>
    <t>Rooibos Tee Vanille 20 St.</t>
  </si>
  <si>
    <t>Salbei Tee 20 St.</t>
  </si>
  <si>
    <t>Spanische Orange 20er</t>
  </si>
  <si>
    <t xml:space="preserve">Strawberry Cheesecake Tee   </t>
  </si>
  <si>
    <t>40.5 Gramm</t>
  </si>
  <si>
    <t>Sweet Kiss 20er</t>
  </si>
  <si>
    <t>Teefix Ostfriesentee 25x2,8 gr</t>
  </si>
  <si>
    <t>Teefix Ostfriesentee 50x2,75 gr</t>
  </si>
  <si>
    <t>Träum Schön Tee 20 St.</t>
  </si>
  <si>
    <t>Türkischer Apfel 20x2,75gr.</t>
  </si>
  <si>
    <t>Waldbeere 20x2,5gr.</t>
  </si>
  <si>
    <t>Weißer Tee Mango Zritrone 20er</t>
  </si>
  <si>
    <t>TWINNINGS</t>
  </si>
  <si>
    <t>Englisch Breakfast 50x2g</t>
  </si>
  <si>
    <t>loser Tee</t>
  </si>
  <si>
    <t>BUENTING</t>
  </si>
  <si>
    <t xml:space="preserve">Tee Gruenpack   </t>
  </si>
  <si>
    <t xml:space="preserve">Assam   </t>
  </si>
  <si>
    <t xml:space="preserve">Darjeelingtee   </t>
  </si>
  <si>
    <t xml:space="preserve">Earl Grey   </t>
  </si>
  <si>
    <t xml:space="preserve">Fairtradetee   </t>
  </si>
  <si>
    <t xml:space="preserve">Grünertee   </t>
  </si>
  <si>
    <t xml:space="preserve">Ostfriesen Gold   </t>
  </si>
  <si>
    <t xml:space="preserve">Englisch Breakfast   </t>
  </si>
  <si>
    <t>Wein</t>
  </si>
  <si>
    <t>REDWINE / IT</t>
  </si>
  <si>
    <t>Wongraven, Alleanza, Langhe, DOC, trocken, rot</t>
  </si>
  <si>
    <t>4 Box</t>
  </si>
  <si>
    <t>ROSÉWINE / IT</t>
  </si>
  <si>
    <t>Wongraven, Senza Compresso, Piemonte, IGT, trocken, rosé</t>
  </si>
  <si>
    <t>Wein weiß</t>
  </si>
  <si>
    <t>WHITEWINE / DE</t>
  </si>
  <si>
    <t>Wongraven, Morgenstern, Riesling, Pfalz, QbA, trocken, weiß</t>
  </si>
  <si>
    <t xml:space="preserve">Hugel&amp;Fils, Gentil "Hugel", Alsace, AOC, dry, white  </t>
  </si>
  <si>
    <t>WHITEWINE / AT</t>
  </si>
  <si>
    <t>Domäne Wachau, Grüner Veltliner, Smaragd, Terrassen, Wachau, trocken, weiß (Drehverschluss)</t>
  </si>
  <si>
    <t xml:space="preserve">Gruener Veltliner QBA trocken   </t>
  </si>
  <si>
    <t xml:space="preserve">Pfaffl, Hundsleiten, Grüner Veltliner, Weinviertel, DAC Reserve, trocken, weiß. (Schraubverschluss) </t>
  </si>
  <si>
    <t xml:space="preserve">Pfaffl, Zeisen, Grüner Veltliner, Weinviertel, DAC, trocken, weiß (Drehverschluss) </t>
  </si>
  <si>
    <t>WHITEWINE / AU</t>
  </si>
  <si>
    <t xml:space="preserve">19 Crimes, Chardonnay, South Eastern Australia, halbtrocken, weiß  </t>
  </si>
  <si>
    <t>Lindemanns BIN 65, Chardonnay, white</t>
  </si>
  <si>
    <t xml:space="preserve">Yellow Tail, Chardonnay, white   </t>
  </si>
  <si>
    <t>WHITEWINE / CL</t>
  </si>
  <si>
    <t xml:space="preserve">Concha y Toro, Casillero del Diablo, Chardonnay, Valle Central, DO, trocken, weiß </t>
  </si>
  <si>
    <t xml:space="preserve">Concha y Toro, Casillero del Diablo, Sauvignon Blanc, Valle Central, DO, trocken, weiß </t>
  </si>
  <si>
    <t xml:space="preserve">Concha y Toro, Frontera, Chardonnay, Valle Central, DO, trocken, weiß (Drehverschluss) </t>
  </si>
  <si>
    <t xml:space="preserve">Concha y Toro, Frontera, Sauvignon Blanc, Valle Central, DO, trocken, weiß (Drehverschluss) </t>
  </si>
  <si>
    <t xml:space="preserve">Cono Sur, Bicicleta, Chardonnay, Central Valley, DO, trocken, weiß  </t>
  </si>
  <si>
    <t>Cono Sur, Organic, Sauvignon Blanc,  DO, trocken, weiß (Bio)</t>
  </si>
  <si>
    <t xml:space="preserve">Cono Sur, Reserva Especial, Sauvignon Blanc, Casablanca Valley, DO, trocken, weiß (Drehverschluss) </t>
  </si>
  <si>
    <t xml:space="preserve">Domaines Barons de Rothschild, Los Vascos, Chardonnay, dry, white  </t>
  </si>
  <si>
    <t xml:space="preserve">Anselmann, Eiswein, Pfalz, süß, weiß   </t>
  </si>
  <si>
    <t>0.375 Liter</t>
  </si>
  <si>
    <t xml:space="preserve">Baden Gutedel QBA trocken   </t>
  </si>
  <si>
    <t xml:space="preserve">Baden Mueller-Thurgau QbA halbtrocken   </t>
  </si>
  <si>
    <t xml:space="preserve">Bassermann-Jordan, Pionier, Sauvignon Blanc, Pfalz, QbA, trocken, weiß  </t>
  </si>
  <si>
    <t xml:space="preserve">Bassermann-Jordan, Riesling, Kabinett, Pfalz, halbtrocken, weiß  </t>
  </si>
  <si>
    <t xml:space="preserve">Blue Nun, Eiswein, Rheinhessen, sweet, white, Geschenkverpackung  </t>
  </si>
  <si>
    <t xml:space="preserve">Blue Nun, QbA, Rheinhessen, lieblich, white  </t>
  </si>
  <si>
    <t>Bürgerspital, Randersackerer Teufelskeller, Riesling, VdP.Erste Lage, trocken, weiß</t>
  </si>
  <si>
    <t>Bürgerspital, Steren, Weiß- &amp; Grauburgunder, VdP.Gutswein, trocken, weiß</t>
  </si>
  <si>
    <t xml:space="preserve">Bürgerspital, Würzburger Abtsleite, Riesling, VdP. Erste Lage, trocken, weiß </t>
  </si>
  <si>
    <t xml:space="preserve">Bürgerspital, Würzburger Bacchus, Kabinett, VdP. Ortswein, feinherb, weiss  </t>
  </si>
  <si>
    <t>Bürgerspital, Würzburger Gewürztraminer Spätlese, VdP. Ortswein, edelsüss, weiß, Bocksbeutel</t>
  </si>
  <si>
    <t>Bürgerspital, Würzburger Müller-Thurgau, VdP. Ortswein, trocken, weiß, Bocksbeutel</t>
  </si>
  <si>
    <t>Bürgerspital, Würzburger Scheurebe, Kabinett, VdP. Ortswein, feinherb, weiss</t>
  </si>
  <si>
    <t xml:space="preserve">Bürgerspital, Würzburger Stein Silvaner, VdP. Erste Lage, trocken, weiss  </t>
  </si>
  <si>
    <t>Bürgerspital, Würzburger Stein, Chardonnay, VdP.Erste Lage, trocken, weiß</t>
  </si>
  <si>
    <t xml:space="preserve">Bürgerspital, Würzburger Stein, Weißer Burgunder, VdP. Erste Lage, trocken, weiß   </t>
  </si>
  <si>
    <t xml:space="preserve">Dr. Loosen, Riesling Kabinett Blue Slate, sweet, (screw-cap), white  </t>
  </si>
  <si>
    <t xml:space="preserve">Dr. Loosen, Riesling, Mosel, QbA, trocken, weiß (Drehverschluss)  </t>
  </si>
  <si>
    <t>Dr. Loosen, Ürziger Würzgarten Riesling Spätlese, süß, weiß</t>
  </si>
  <si>
    <t xml:space="preserve">Dr.Faust Weisser Burgunder QBA trocken   </t>
  </si>
  <si>
    <t>Dreissigacker, Vintages Weiß, Rheinhessen, QbA, trocken, weiß</t>
  </si>
  <si>
    <t xml:space="preserve">Erben Spaetlese Rheinhessen   </t>
  </si>
  <si>
    <t xml:space="preserve">Hensel &amp; Gretel QbA, Pfalz trocken weiss   </t>
  </si>
  <si>
    <t xml:space="preserve">HHJ Mueller-Thurgau QbA trocken   </t>
  </si>
  <si>
    <t xml:space="preserve">Junge Franken, Mueller-Thurgau QbA, dry   </t>
  </si>
  <si>
    <t>Kloster Eberbach, Rauenthaler Baiken, Riesling, Crescentia, Rheingau,  trocken, weiß</t>
  </si>
  <si>
    <t xml:space="preserve">Kloster Eberbach, Riesling, QbA, Rheingau, trocken, weiß  </t>
  </si>
  <si>
    <t xml:space="preserve">Kloster Eberbach, Steinberg, Riesling, QbA, Rheingau, feinherb, weiß (Drehverschluss) </t>
  </si>
  <si>
    <t>Kloster Eberbach, Steinberger, Riesling, Rheingau, trocken, weiß</t>
  </si>
  <si>
    <t xml:space="preserve">Leitz, Dragonstone, Riesling, Rheingau, QbA, feinherb, weiß (Drehverschluss)  </t>
  </si>
  <si>
    <t xml:space="preserve">Leitz, Eins Zwei Dry, Riesling, QbA, Rheingau, trocken, weiß (Drehverschluss)  </t>
  </si>
  <si>
    <t xml:space="preserve">Liebfraumilch QBA Rheinhessen   </t>
  </si>
  <si>
    <t xml:space="preserve">Lorch Kerner QBA trocken   </t>
  </si>
  <si>
    <t xml:space="preserve">Lorch Morio-Muskat QBA   </t>
  </si>
  <si>
    <t xml:space="preserve">Lorch Scheurebe QBA   </t>
  </si>
  <si>
    <t xml:space="preserve">Lorch Weisser Burgunder QBA Trocken   </t>
  </si>
  <si>
    <t xml:space="preserve">Markus Molitor, Riesling, QbA, Mosel, trocken, weiss  </t>
  </si>
  <si>
    <t xml:space="preserve">Markus Molitor, Riesling, QbA, Mosel, trocken, weiß, Alte Reben Mosel Prestige  </t>
  </si>
  <si>
    <t>Markus Pfaffmann Grauburgunder Chapeau Pfalz, trocken, weiß</t>
  </si>
  <si>
    <t>Markus Pfaffmann Riesling Chapeau Pfalz, trocken, weiß</t>
  </si>
  <si>
    <t>Markus Pfaffmann Sauvignon Blanc Chapeau Pfalz, trocken, weiß</t>
  </si>
  <si>
    <t>Markus Pfaffmann Weissburgunder, Pfalz, trocken, weiß</t>
  </si>
  <si>
    <t>Markus Pfaffmann, Nachts sind alle Burgunder Grau, Grauburgunder, Pfalz, trocken, weiß</t>
  </si>
  <si>
    <t xml:space="preserve">Moselland Akzente Elbling QBA trocken   </t>
  </si>
  <si>
    <t xml:space="preserve">Moselland Riesling Hochgewaechs lieblich   </t>
  </si>
  <si>
    <t xml:space="preserve">Moselland Riesling Hochgewaechs trocken   </t>
  </si>
  <si>
    <t xml:space="preserve">Moselland Riesling Kabinett halbtrocken   </t>
  </si>
  <si>
    <t xml:space="preserve">Pfälzer Landwein, trocken, weiß   </t>
  </si>
  <si>
    <t xml:space="preserve">Rheinh. Spaetlese lieblich, weiss   </t>
  </si>
  <si>
    <t xml:space="preserve">Rheinhessen Mueller-Thurgau QBA trocken   </t>
  </si>
  <si>
    <t xml:space="preserve">Rheinhessen Silvaner QBA trocken   </t>
  </si>
  <si>
    <t xml:space="preserve">Robert Weil Junior, Weißburgunder, Rheinhessen, QbA, trocken, weiß (Drehverschluss) </t>
  </si>
  <si>
    <t xml:space="preserve">Robert Weil, Riesling, QbA, dry, white   </t>
  </si>
  <si>
    <t xml:space="preserve">Schloss Johannisberg, Silberlack, Riesling, Großes Gewächs, Rheingau, trocken, weiß </t>
  </si>
  <si>
    <t xml:space="preserve">Schloss Johannisberger Gelblack, Riesling, QbA, dry, white  </t>
  </si>
  <si>
    <t xml:space="preserve">Schloss Johannisberger Rotlack, Riesling, Kabinett, dry, white  </t>
  </si>
  <si>
    <t>Thanisch, Bernkasteler Doctor, Riesling, Kabinett Mosel, süß, weiß</t>
  </si>
  <si>
    <t>Thanisch, Bernkasteler, Riesling, Kabinett Mosel, halbtrocken, weiß</t>
  </si>
  <si>
    <t>Wein-Genuss Qualitätswein Rheinhessen lieblich 1l</t>
  </si>
  <si>
    <t xml:space="preserve">Wittmann, Grauburgunder, Rheinhessen, QbA, trocken, weiß (Drehverschluss, Bio)  </t>
  </si>
  <si>
    <t>WHITEWINE / ES</t>
  </si>
  <si>
    <t>El Coto, Blanco, Rioja, DOCa, trocken, weiß (Drehverschluss)</t>
  </si>
  <si>
    <t>Faustino, Faustino V, Viura-Chardonnay, Rioja, DOCa, trocken, weiß</t>
  </si>
  <si>
    <t xml:space="preserve">Freixenet Mia Blanco Weisswein lielich   </t>
  </si>
  <si>
    <t xml:space="preserve">Marqués de Riscal, Rueda,white,screw-cap   </t>
  </si>
  <si>
    <t>Miguel Torres, Viña Sol, DO, Catalunya, trocken, weiß</t>
  </si>
  <si>
    <t xml:space="preserve">Torres Gran Vina Sol, Chardonnay, white   </t>
  </si>
  <si>
    <t>Torres, Pazo das Bruxas, Albariño, Rias Baixas, DO, trocken, weiß</t>
  </si>
  <si>
    <t>Torres, San Valentin, Parellada, Catalunya, DO, halbtrocken, weiß (Drehverschluss)</t>
  </si>
  <si>
    <t>0.75 Kilogramm</t>
  </si>
  <si>
    <t>WHITEWINE / FR</t>
  </si>
  <si>
    <t xml:space="preserve">Baron Philippe de Rothschild, Bordeaux, AOC, trocken, weiß  </t>
  </si>
  <si>
    <t xml:space="preserve">Baron Philippe de Rothschild, Mouton Cadet Reserve, Sauternes,AOC,sweet,white  </t>
  </si>
  <si>
    <t xml:space="preserve">Baron Philippe de Rothschild, Mouton Cadet, Bordeaux, AOC, trocken, weiß  </t>
  </si>
  <si>
    <t>Baron Philippe de Rothschild, Mouton Cadet, Sauvignon Blanc, Bordeaux, AOC, trocken, weiß (Drehversc</t>
  </si>
  <si>
    <t xml:space="preserve">Barton &amp; Guestier, Passeport, Bordeaux, AOC, dry, white  </t>
  </si>
  <si>
    <t xml:space="preserve">Barton &amp; Guestier, Réserve, Chardonnay, Languedoc, IGP, trocken, weiß  </t>
  </si>
  <si>
    <t xml:space="preserve">Barton &amp; Guestier, Réserve, Sauvignon Blanc, Languedoc, IGP, trocken, weiß, (Drehverschluß) </t>
  </si>
  <si>
    <t xml:space="preserve">Blanchet Blanc de France VdT trocken   </t>
  </si>
  <si>
    <t xml:space="preserve">Burgwappen Tafelwein weiss   </t>
  </si>
  <si>
    <t xml:space="preserve">Chenet Blanc VdP des Cotes de Gascogne   </t>
  </si>
  <si>
    <t xml:space="preserve">Corsaire Réserve du Président Blanc dry   </t>
  </si>
  <si>
    <t>Domaine La Baume, Chardonnay, trocken, weiß</t>
  </si>
  <si>
    <t xml:space="preserve">Domaine La Baume, Sauvignon, weiß   </t>
  </si>
  <si>
    <t xml:space="preserve">Elsass Edelzwicker trocken   </t>
  </si>
  <si>
    <t xml:space="preserve">Guigal, Côtes du Rhône, AOC, dry, white   </t>
  </si>
  <si>
    <t xml:space="preserve">Hugel, Gewürztraminer, Elsass, AOC, trocken, weiß  </t>
  </si>
  <si>
    <t xml:space="preserve">Hugel, Pinot Gris, Elsass, AOC, trocken, weiß  </t>
  </si>
  <si>
    <t xml:space="preserve">Hugel, Riesling, Elsass, AOC, dry, white   </t>
  </si>
  <si>
    <t xml:space="preserve">J. Moreau &amp; Fils, Chablis Premier Cru, Fourchaumes, AOC, Burgund, trocken, weiß  </t>
  </si>
  <si>
    <t xml:space="preserve">J.P. Chenet, Blanc De Blancs, VdP, white   </t>
  </si>
  <si>
    <t xml:space="preserve">J.P. Chenet, Colombard/Sauvignon, Languedoc, IGP, dry, white  </t>
  </si>
  <si>
    <t xml:space="preserve">J.P. Chenet, Medium Sweet, Languedoc, IGP, lieblich, weiß  </t>
  </si>
  <si>
    <t>Jean-Marc Borcard, Chablis Premier Cru, Beauregard, AOC, trocken, weiß</t>
  </si>
  <si>
    <t>Jean-Marc Borcard, Sainte Claire, Chablis, AOC, trocken, weiß</t>
  </si>
  <si>
    <t>La Chablisienne, Chablis, AOC, trocken, weiß</t>
  </si>
  <si>
    <t>La Perrière, Sancerre, AOC, trocken, weiß (Drehverschluss)</t>
  </si>
  <si>
    <t xml:space="preserve">Laroche, Chablis, AOC, trocken, weiß (Drehverschluss)  </t>
  </si>
  <si>
    <t xml:space="preserve">Laroche, Chardonnay, "L", Pays d'Oc, IGP, trocken, weiß (Drehverschluss)  </t>
  </si>
  <si>
    <t xml:space="preserve">Le Flamand Blanc VDP trocken   </t>
  </si>
  <si>
    <t xml:space="preserve">Louis Eschenauer, Chardonnay, Languedoc, IGP, trocken, weiß  </t>
  </si>
  <si>
    <t>Louis Jadot, Convent des Jacobins, Bourgogne Chardonnay, AOC, Burgund, trocken, weiß ( Schraubversch</t>
  </si>
  <si>
    <t>Louis Jadot, Macon-Villages, Maison, AOP, trocken, weiß</t>
  </si>
  <si>
    <t>WHITEWINE / GR</t>
  </si>
  <si>
    <t xml:space="preserve">Kourtaki Imiglikos AOC weiss   </t>
  </si>
  <si>
    <t xml:space="preserve">Allegrini, Soave, DOC, trocken, weiß   </t>
  </si>
  <si>
    <t xml:space="preserve">Antinori, Villa Antinori, Toskana, IGP, trocken, weiß  </t>
  </si>
  <si>
    <t xml:space="preserve">Attems, Pinot Grigio, Friaul, IGT, trocken, weiß  </t>
  </si>
  <si>
    <t>Bersano, Roero Arneis DOCG, Piemont, trocken, weiß</t>
  </si>
  <si>
    <t xml:space="preserve">Bottega, Pinot Grigio, Venetien, IGT, trocken, weiß  </t>
  </si>
  <si>
    <t>Cá Maiol Molin Lugana Superiore DOP, trocken, weiß</t>
  </si>
  <si>
    <t xml:space="preserve">Casteltorre, Pinot Grigio delle Venezie, Venetien, IGP, trocken, weiß  </t>
  </si>
  <si>
    <t xml:space="preserve">Chardonnay delle Venezie Vescovino IGT   </t>
  </si>
  <si>
    <t xml:space="preserve">Danzante, Pinot Grigio, Venetien, IGP, trocken, weiß (Drehverschluss)  </t>
  </si>
  <si>
    <t>Doppio Passo Grillo, 0,75ltr</t>
  </si>
  <si>
    <t xml:space="preserve">Fescobaldi, Rémole, Toscana IGP, trocken, weiß  </t>
  </si>
  <si>
    <t xml:space="preserve">Frascati Superior DOC   </t>
  </si>
  <si>
    <t xml:space="preserve">Frizzantino ital. Perlwein weiss   </t>
  </si>
  <si>
    <t>1.5 Liter</t>
  </si>
  <si>
    <t>Marchesi di Barolo, Gavi, DOCG, trocken, weiß</t>
  </si>
  <si>
    <t xml:space="preserve">Marchesi di Barolo, Zagara, Moscato d'Asti, DOCG, süß, weiß  </t>
  </si>
  <si>
    <t xml:space="preserve">Masi, Masianco, Pinot Grigio/Verduzzo, Veneto, IGP, trocken, weiß  </t>
  </si>
  <si>
    <t xml:space="preserve">Orvieto Classico DOC   </t>
  </si>
  <si>
    <t xml:space="preserve">Pinot Grigio Venezia IGT   </t>
  </si>
  <si>
    <t xml:space="preserve">Rebenthaler Ital.Tafelwein weiss   </t>
  </si>
  <si>
    <t>Santa Cristina Bianco Umbria IGT, trocken, weiß</t>
  </si>
  <si>
    <t xml:space="preserve">Soave, Gabbia d'Oro, DOC, trocken, weiss   </t>
  </si>
  <si>
    <t xml:space="preserve">Tommasi Pinot Grigio, Le Rosse Venetien IGP, trocken, weiß  </t>
  </si>
  <si>
    <t xml:space="preserve">Tommasi, Lugana, Le Fornaci, DOC, trocken, weiß  </t>
  </si>
  <si>
    <t xml:space="preserve">Vescovino Soave DOC   </t>
  </si>
  <si>
    <t>Viala Italienischer Weisswein lieblich</t>
  </si>
  <si>
    <t>Wein-Genuss Pinot Grigio delle Venezie trocken DOC 0,75l</t>
  </si>
  <si>
    <t>WHITEWINE / NZ</t>
  </si>
  <si>
    <t>Cloudy Bay Sauvignon Blanc, Marlborough, trocken, weiß</t>
  </si>
  <si>
    <t xml:space="preserve">Matua Valley, Paretai, Sauvignon Blanc, Marlborough, trocken, weiß (Drehverschluss) </t>
  </si>
  <si>
    <t xml:space="preserve">Mud House, Sauvignon Blanc, Marlborough, dry, white (Drehverschluss)  </t>
  </si>
  <si>
    <t>Oyster Bay Sauvignon Blanc</t>
  </si>
  <si>
    <t>Villa Maria, Private Bin, Sauvignon Blanc, Marlborough, trocken, weiß</t>
  </si>
  <si>
    <t>WHITEWINE / PR</t>
  </si>
  <si>
    <t xml:space="preserve">Gazela, Vinho Verde, DOC, white   </t>
  </si>
  <si>
    <t xml:space="preserve">Mateus White   </t>
  </si>
  <si>
    <t xml:space="preserve">Morgadio da Torre, Alvarinho Vinho Verde, DOC, trocken, weiß  </t>
  </si>
  <si>
    <t>WHITEWINE / PT</t>
  </si>
  <si>
    <t>Symington Family Estates, Altano, Douro, DOC, trocken, weiß</t>
  </si>
  <si>
    <t>WHITEWINE / US</t>
  </si>
  <si>
    <t>Bread &amp; Butter, Chardonnay,  AVA, trocken, weiß</t>
  </si>
  <si>
    <t xml:space="preserve">Gallo Family Vineyards, Chardonnay, California, dry, white (screw-cap)  </t>
  </si>
  <si>
    <t xml:space="preserve">Kendall-Jackson, Vintner's Reserve, Chardonnay, California, trocken, weiß  </t>
  </si>
  <si>
    <t xml:space="preserve">La Crema, Chardonnay, Sonoma Coast, trocken, weiß  </t>
  </si>
  <si>
    <t xml:space="preserve">Mondavi Private Selection, Chardonnay   </t>
  </si>
  <si>
    <t xml:space="preserve">Mondavi Woodbridge, Chardonnay, white   </t>
  </si>
  <si>
    <t xml:space="preserve">Over Seas Chardonnay California   </t>
  </si>
  <si>
    <t>WHITEWINE / ZA</t>
  </si>
  <si>
    <t xml:space="preserve">Golden Kaan Chardonnay, white   </t>
  </si>
  <si>
    <t xml:space="preserve">Golden Kaan Sauvignon Blanc, white   </t>
  </si>
  <si>
    <t xml:space="preserve">Ken Forrester, Old Vine Reserve, Stellenbosch, trocken, weiß (Drehverschluss) </t>
  </si>
  <si>
    <t>KWV Chardonney, Western Cape, white</t>
  </si>
  <si>
    <t>KWV Roodeberg, Western Cape, weiß</t>
  </si>
  <si>
    <t xml:space="preserve">La Motte, Sauvignon Blanc, white   </t>
  </si>
  <si>
    <t>Wein rot</t>
  </si>
  <si>
    <t>REDWINE / AR</t>
  </si>
  <si>
    <t>Kaiken Estate, Cabernet Sauvignon, trocken, rot</t>
  </si>
  <si>
    <t>Kaiken Estate, Malbec, trocken, rot</t>
  </si>
  <si>
    <t xml:space="preserve">Trivento, Golden Reserve, Malbec, trocken, rot  </t>
  </si>
  <si>
    <t xml:space="preserve">Trivento, Reserve, Malbec, Mendoza, trocken, rot  </t>
  </si>
  <si>
    <t>REDWINE / AU</t>
  </si>
  <si>
    <t>19 Crimes, Red Blend, South Australia, semi-dry, red</t>
  </si>
  <si>
    <t>19 Crimes, The Banished, South Eastern Australia, semi-dry, red</t>
  </si>
  <si>
    <t>19 Crimes, The Uprising, South Eastern Australia, semi-dry, red</t>
  </si>
  <si>
    <t xml:space="preserve">Jacob´s Creek, Shiraz-Cabernet, red   </t>
  </si>
  <si>
    <t>Linedemans, BIN 45, Cabernet Sauvignon, trocken, rot (Drehverschluss)</t>
  </si>
  <si>
    <t>Linedemans, BIN 50, Shiraz, trocken, rot (Drehverschluss)</t>
  </si>
  <si>
    <t xml:space="preserve">Over Seas Australia Shiraz, dry, red   </t>
  </si>
  <si>
    <t>Penfolds, BIN 28, Kalimna, Shiraz, South Australia, trocken, rot</t>
  </si>
  <si>
    <t>Penfolds, Koonunga Hill 76, Shiraz/Cabernet Sauvignon, South Australia, trocken, rot (Drehverschluss</t>
  </si>
  <si>
    <t xml:space="preserve">Penfolds, Koonunga Hill, Shiraz-Cabernet Sauvignon, red  </t>
  </si>
  <si>
    <t xml:space="preserve">Yellow Tail, Cabernet Sauvignon, red   </t>
  </si>
  <si>
    <t xml:space="preserve">Yellow Tail, Merlot, red   </t>
  </si>
  <si>
    <t xml:space="preserve">Yellow Tail, Shiraz, red   </t>
  </si>
  <si>
    <t xml:space="preserve">Zweigelt QbA rot trocken   </t>
  </si>
  <si>
    <t>REDWINE / CL</t>
  </si>
  <si>
    <t xml:space="preserve">Chile Cabernet Sauvignon   </t>
  </si>
  <si>
    <t xml:space="preserve">Concha y Toro, Cabernet Sauvignon, Casillero del Diablo, Valle Central, DO, dry, red </t>
  </si>
  <si>
    <t>Concha y Toro, Casillero del Diablo, Reserva Privada, Cabernet Sauvignon/Shiraz, Maipo, DO, trocken,</t>
  </si>
  <si>
    <t xml:space="preserve">Concha y Toro, Frontera, Cabernet Sauvignon, dry, red  </t>
  </si>
  <si>
    <t xml:space="preserve">Concha y Toro, Marqués de Casa Concha, Cabernet Sauvignon, Puente Alto, DO, trocken, rot </t>
  </si>
  <si>
    <t>Concha y Toro, Marqués de Casa Concha, Merlot, Peumo, DO, 0.75L</t>
  </si>
  <si>
    <t xml:space="preserve">Cono Sur, Single Vineyard, Pinot Noir, San Antonio, DO, trocken, rot  </t>
  </si>
  <si>
    <t xml:space="preserve">Domaines Barons de Rothschild, Los Vascos, Cabernet Sauvignon, Colchagua, DO, trocken, rot </t>
  </si>
  <si>
    <t>Montes Cabernet Sauvignon Reserva, trocken, rot</t>
  </si>
  <si>
    <t>REDWINE / DE</t>
  </si>
  <si>
    <t xml:space="preserve">Anselmann, Dornfelder Classic, QbA, Pfalz, trocken, rot  </t>
  </si>
  <si>
    <t xml:space="preserve">Anselmann, Dornfelder, Barrique, dry,red   </t>
  </si>
  <si>
    <t xml:space="preserve">Anselmann, Pinot Noir, Pfalz, QbA, lieblich, rot  </t>
  </si>
  <si>
    <t>Bürgerspital, Veitshöchheimer Spätburgunder, VdP. Ortswein, trocken, rot, Bocksbeutel</t>
  </si>
  <si>
    <t>Bürgerspital, Würzburger Domina, VdP. Ortswein, trocken, rot Bocksbeutel</t>
  </si>
  <si>
    <t>Bürgerspital, Würzburger Stein, Blaufränkisch, VdP. Erste Lage, trocken, rot</t>
  </si>
  <si>
    <t xml:space="preserve">Diehl Spätburgunder Eins zu Eins, Baden, QbA, trocken, rot, (Drehverschluss)  </t>
  </si>
  <si>
    <t xml:space="preserve">Dr.Faust Dornfelder QBA lieblich   </t>
  </si>
  <si>
    <t xml:space="preserve">Dt.Weintor, Pfalz, Dornfelder, dry, red   </t>
  </si>
  <si>
    <t xml:space="preserve">Erben Dornfelder QbA, halbtrocken, rot   </t>
  </si>
  <si>
    <t xml:space="preserve">Erben Spaetburgunder QbA, lieblich, rot   </t>
  </si>
  <si>
    <t>Friedrich Becker Spätburgunder QBA, trocken, rot</t>
  </si>
  <si>
    <t xml:space="preserve">Hensel &amp; Gretel, QbA, Pfalz, trocken rot   </t>
  </si>
  <si>
    <t>Kloster Eberbach, Assmannshäuser Höllenberg, Spätburgunder, Crescentia, Rheingau, trocken, rot, Drehverschluss</t>
  </si>
  <si>
    <t xml:space="preserve">Kloster Eberbach, Cresentia, Pinot Noir, QbA, Rheingau, trocken, rot  </t>
  </si>
  <si>
    <t xml:space="preserve">Lauffener Katzenb. Lemberger QBA trocken   </t>
  </si>
  <si>
    <t>Markus Pfaffmann Spätburgunder, rot, trocken</t>
  </si>
  <si>
    <t>Markus Schneider, Black Print, QbA, Pfalz, trocken, rot</t>
  </si>
  <si>
    <t>Markus Schneider, Tohuwabohu, QbA, Pfalz, trocken, rot</t>
  </si>
  <si>
    <t>Markus Schneider, Ursprung, Pfalz, QbA, trocken, rot</t>
  </si>
  <si>
    <t xml:space="preserve">Rheinberg Dornfelder QbA halbtrocken   </t>
  </si>
  <si>
    <t xml:space="preserve">Rheinberg Spaetburgunder QBA trocken   </t>
  </si>
  <si>
    <t xml:space="preserve">Rheinhessen Dornfelder QbA Trocken   </t>
  </si>
  <si>
    <t xml:space="preserve">Weinsberger Ranzenberg Trollinger QBA   </t>
  </si>
  <si>
    <t xml:space="preserve">Wuerttemberger Schwarzriesling QBA, htr.   </t>
  </si>
  <si>
    <t xml:space="preserve">Württembergischer Trollinger QBA   </t>
  </si>
  <si>
    <t>REDWINE / ES</t>
  </si>
  <si>
    <t>Barón de Ley, Finca Monasterio, Rioja, DO, trocken, rot</t>
  </si>
  <si>
    <t xml:space="preserve">Barón de Ley, Gran Reserva, Rioja, DOCa, trocken, rot  </t>
  </si>
  <si>
    <t xml:space="preserve">Barón de Ley, Reserva, Rioja, trocken, rot  </t>
  </si>
  <si>
    <t xml:space="preserve">Condado de Haza, Crianza, red   </t>
  </si>
  <si>
    <t>Contino, Reserva, Rioja, trocken, rot</t>
  </si>
  <si>
    <t xml:space="preserve">Cune, Crianza, Rioja, trocken, rot   </t>
  </si>
  <si>
    <t xml:space="preserve">Cune, Gran Reserva, Rioja, DOCa, trocken, rot  </t>
  </si>
  <si>
    <t xml:space="preserve">Cune, Reserva, Rioja, trocken, rot   </t>
  </si>
  <si>
    <t xml:space="preserve">El Caseron Valencia, Rotwein   </t>
  </si>
  <si>
    <t xml:space="preserve">El Coto, Coto de Imaz, Gran Reserva, Rioja, trocken, rot  </t>
  </si>
  <si>
    <t xml:space="preserve">El Coto, Coto de Imaz, Reserva, Rioja, trocken, rot  </t>
  </si>
  <si>
    <t xml:space="preserve">El Coto, Crianza, Rioja, dry, red   </t>
  </si>
  <si>
    <t xml:space="preserve">Faustino V, Reserva, Rioja, trocken, rot   </t>
  </si>
  <si>
    <t xml:space="preserve">Faustino VII, red   </t>
  </si>
  <si>
    <t xml:space="preserve">Faustino, Faustino I, Gran Reserva, Rioja, trocken, rot  </t>
  </si>
  <si>
    <t xml:space="preserve">Freixenet Mia Tinto Rotwein halbtrocken   </t>
  </si>
  <si>
    <t xml:space="preserve">Marques de Caceres, Crianza, red   </t>
  </si>
  <si>
    <t xml:space="preserve">Marques de Riscal, Reserva, red   </t>
  </si>
  <si>
    <t xml:space="preserve">Mederano Tinto VdT halbtrocken   </t>
  </si>
  <si>
    <t>Miguel Torres, Purgatori, DO Costers del Segre, trocken, rot</t>
  </si>
  <si>
    <t xml:space="preserve">Montecillo, Gran Reserva, Rioja, trocken, rot  </t>
  </si>
  <si>
    <t xml:space="preserve">Montecillo, Reserva, Rioja, trocken, rot   </t>
  </si>
  <si>
    <t>Pesquera, Crianza, Ribera del Duero, trocken, rot</t>
  </si>
  <si>
    <t xml:space="preserve">Protos, Crianza, D.O., dry, red   </t>
  </si>
  <si>
    <t>Protos, Gran Reserva, Ribera del Duero, trocken, rot</t>
  </si>
  <si>
    <t>Protos, Reserva, Ribera del Duero, trocken, rot</t>
  </si>
  <si>
    <t xml:space="preserve">Rioja Tinto DOC rot   </t>
  </si>
  <si>
    <t xml:space="preserve">Sangria PET   </t>
  </si>
  <si>
    <t xml:space="preserve">Torres Celeste, Crianza, red   </t>
  </si>
  <si>
    <t xml:space="preserve">Torres Gran Coronas, Cabernet Sauvignon, Reserva, red  </t>
  </si>
  <si>
    <t xml:space="preserve">Torres Sangre de Toro red   </t>
  </si>
  <si>
    <t xml:space="preserve">Torres, Gran Sangre de Toro, Reserva, Penedès, trocken, rot  </t>
  </si>
  <si>
    <t xml:space="preserve">Baron Philippe de Rothschild, Bordeaux, AOC, trocken, rot  </t>
  </si>
  <si>
    <t xml:space="preserve">Baron Philippe de Rothschild, Mouton Cadet Réserve, Médoc, AOC, trocken, rot  </t>
  </si>
  <si>
    <t xml:space="preserve">Baron Philippe de Rothschild, Mouton Cadet, Bordeaux, AOC, dry, red  </t>
  </si>
  <si>
    <t xml:space="preserve">Baron Philippe de Rothschild, Mouton Cadet, Héritage, Bordeaux, AOC, trocken, rot </t>
  </si>
  <si>
    <t>Baron Philippe de Rothschild, Mouton Cadet, Réserve, Saint-Emilion, AOC, trocken, rot</t>
  </si>
  <si>
    <t xml:space="preserve">Baron Philippe de Rothschild, Pauillac, AOC, trocken, rot  </t>
  </si>
  <si>
    <t xml:space="preserve">Barton &amp; Guestier, Château Magnol, Haut-Médoc, Cru Bourgeois, Bordeaux, trocken, rot </t>
  </si>
  <si>
    <t xml:space="preserve">Barton &amp; Guestier, Château Vieux Maurac, Médoc, AOC, trocken, rot  </t>
  </si>
  <si>
    <t xml:space="preserve">Barton &amp; Guestier, Les Charmes de Magnol, Médoc, AOC, trocken, rot  </t>
  </si>
  <si>
    <t xml:space="preserve">Barton &amp; Guestier, Passeport, Beaujolais Villages, AOC, trocken, rot  </t>
  </si>
  <si>
    <t xml:space="preserve">Barton &amp; Guestier, Passeport, Bordeaux, AOC, trocken, rot  </t>
  </si>
  <si>
    <t xml:space="preserve">Barton &amp; Guestier, Passeport, Saint-Émilion, AOC, trocken, rot  </t>
  </si>
  <si>
    <t xml:space="preserve">Barton &amp; Guestier, Réserve, Cabernet Sauvignon, IGP Pays d'Oc, trocken, rot (Drehverschluss) </t>
  </si>
  <si>
    <t xml:space="preserve">Barton &amp; Guestier, Réserve, Merlot, IGP Pays d'Oc, trocken, rot (Drehverschluss) </t>
  </si>
  <si>
    <t xml:space="preserve">Barton &amp; Guestier, Réserve, Pinot Noir, Languedoc, IGP, trocken, rot  </t>
  </si>
  <si>
    <t xml:space="preserve">Blanchet Rouge de France VdT trocken   </t>
  </si>
  <si>
    <t xml:space="preserve">Burgwappen Tafelwein rot   </t>
  </si>
  <si>
    <t xml:space="preserve">Chateau  La Croix Du Breuil Medoc AC   </t>
  </si>
  <si>
    <t xml:space="preserve">Château Argadens, Bordeaux Supérieur, AOC, trocken, rot  </t>
  </si>
  <si>
    <t>Château Batailley, Pauillac, AOC, 5ème Grand Cru Classé en Médoc, trocken, rot (Holzkiste)</t>
  </si>
  <si>
    <t xml:space="preserve">Château Cheval Noir, St. Emilion, Grand Cru Classé, AOC, trocken, rot  </t>
  </si>
  <si>
    <t xml:space="preserve">Château Crabitey, Graves, AOC, trocken, rot  </t>
  </si>
  <si>
    <t xml:space="preserve">Château de Beaucastel, Coudoulet de Beaucastel, Côtes du Rhônes, AOC, trocken, rot (Bio) </t>
  </si>
  <si>
    <t xml:space="preserve">Château de Valandraud, Confidences de Valandraud, Saint Émilion Grand Cru AOC, trocken, rot </t>
  </si>
  <si>
    <t xml:space="preserve">Château des Jacques, Morgon, AOC, trocken, rot  </t>
  </si>
  <si>
    <t xml:space="preserve">Château La Couronne, St. Emilion Grand Cru, AOC, trocken, rot  </t>
  </si>
  <si>
    <t xml:space="preserve">Château La Menotte, La Lande de Pomerol, AOC, trocken, rot  </t>
  </si>
  <si>
    <t xml:space="preserve">Chateau Montagne St.Emilion AC   </t>
  </si>
  <si>
    <t>Château Odilon, Haut Médoc, AOC, trocken, rot</t>
  </si>
  <si>
    <t>Château Paradis Casseuil, Bordeaux, AOC, trocken, rot</t>
  </si>
  <si>
    <t xml:space="preserve">Château Saint-Hilaire, Médoc, AOC, trocken, rot  </t>
  </si>
  <si>
    <t xml:space="preserve">Cheval Noir, Saint-Émilion, AOC, dry,red   </t>
  </si>
  <si>
    <t xml:space="preserve">Clos de l'Oratoire des Papes, Châteauneuf du Pape, AOC, trocken, rot  </t>
  </si>
  <si>
    <t xml:space="preserve">Corbieres Rouge AC   </t>
  </si>
  <si>
    <t xml:space="preserve">Corsaire Rouge AC   </t>
  </si>
  <si>
    <t>Domaine des Sénécheaux, Châteauneuf du Pape, AOC, trocken, rot</t>
  </si>
  <si>
    <t xml:space="preserve">Domaine La Baume, Cabernet Sauvignon,rot   </t>
  </si>
  <si>
    <t xml:space="preserve">Domaine La Baume, Syrah, rot   </t>
  </si>
  <si>
    <t xml:space="preserve">Famille Perrin, Châteauneuf-du-Pape, Les Sinards, AOC, trocken, rot  </t>
  </si>
  <si>
    <t xml:space="preserve">Guigal, Côtes du Rhône, AOC, dry, red   </t>
  </si>
  <si>
    <t xml:space="preserve">Guigal, Crozes-Hermitage, AOC, dry, red   </t>
  </si>
  <si>
    <t xml:space="preserve">J.P. Chenet, Cabernet/Syrah, Languedoc, IGP, trocken, red (Bag in Box)  </t>
  </si>
  <si>
    <t xml:space="preserve">J.P. Chenet, Cabernet/Syrah, Languedoc, IGP, trocken, rot (Drehverschluss)  </t>
  </si>
  <si>
    <t xml:space="preserve">J.P. Chenet, Medium Sweet, Languedoc, IGP, lieblich, rot  </t>
  </si>
  <si>
    <t xml:space="preserve">J.P.Chenet, Cabernet-Syrah, VdP d`Oc,red   </t>
  </si>
  <si>
    <t xml:space="preserve">Le Filou Rouge VDP trocken   </t>
  </si>
  <si>
    <t xml:space="preserve">Le Flamand Rouge VDP trocken   </t>
  </si>
  <si>
    <t xml:space="preserve">Louis Eschenauer, Bordeaux, AOC, dry,red   </t>
  </si>
  <si>
    <t xml:space="preserve">Louis Eschenauer, Réserve, Bordeaux Supérieur, AOC, trocken, rot  </t>
  </si>
  <si>
    <t xml:space="preserve">Medinet, Merlot/Grenache, Languedoc, IGP, lieblich, rot  </t>
  </si>
  <si>
    <t xml:space="preserve">Premius Bordeaux Rouge AC   </t>
  </si>
  <si>
    <t xml:space="preserve">Sichel Family Reserve, Margaux, AOC, trocken, rot (Geschenkverpackung)  </t>
  </si>
  <si>
    <t>REDWINE / GR</t>
  </si>
  <si>
    <t xml:space="preserve">Imiglikos Nefeli Tafelwein rot   </t>
  </si>
  <si>
    <t>Allegrini, Amarone della Valpolicella Classico, DOCG, trocken, rot</t>
  </si>
  <si>
    <t xml:space="preserve">Allegrini, Corte Giara, Amarone della Valpolicella, La Groletta, DOCG, trocken, rot </t>
  </si>
  <si>
    <t xml:space="preserve">Allegrini, Corte Giara, Ripasso della Valpolicella, DOC, trocken, rot  </t>
  </si>
  <si>
    <t xml:space="preserve">Allegrini, La Grola, Rosso del Veronese, Venetien, IGP, trocken, rot  </t>
  </si>
  <si>
    <t>Antinori, La Braccesca, Vino Nobile di Montepulciano, DOCG, dry, red</t>
  </si>
  <si>
    <t>Antinori, Pèppoli, Chianti Classico, DOCG, trocken, rot</t>
  </si>
  <si>
    <t xml:space="preserve">Antinori, Tenuta Guado al Tasso, Il Bruciato, Bolgheri, DOC, trocken, rot  </t>
  </si>
  <si>
    <t xml:space="preserve">Antinori, Tenuta Tignanello, Marchese Antinori, Chianti Classico, Riserva, DOCG, trocken, rot </t>
  </si>
  <si>
    <t xml:space="preserve">Antinori, Villa Antinori, Toskana, IGP, trocken, rot  </t>
  </si>
  <si>
    <t xml:space="preserve">Banfi, Col di Sasso, Toskana, IGT, trocken, rot (Schraubverschluss)  </t>
  </si>
  <si>
    <t xml:space="preserve">Bardolino Classico DOP   </t>
  </si>
  <si>
    <t xml:space="preserve">Barone Montalto, Collezione di Familia, Nero d'Avola, Passivento, Sizilien, IGT, halbtrocken, rot </t>
  </si>
  <si>
    <t>Basiola Lambrusco Emilia IGT Perlwein</t>
  </si>
  <si>
    <t xml:space="preserve">Bottega Valpolicella Classico DOC, rot   </t>
  </si>
  <si>
    <t xml:space="preserve">Bottega, Amarone della Valpolicella Classico, DOCG, trocken, rot  </t>
  </si>
  <si>
    <t xml:space="preserve">Cantina Zaccagnini, Montepulcinao d'Abruzzo, DOC, trocken, rot  </t>
  </si>
  <si>
    <t xml:space="preserve">Castello Banfi, Brunello di Montalcino, DOCG, trocken, rot  </t>
  </si>
  <si>
    <t xml:space="preserve">Castello Banfi, Chianti Classico Riserva DOCG, rot  </t>
  </si>
  <si>
    <t xml:space="preserve">Castello Banfi, Cum Laude, IGT, rot   </t>
  </si>
  <si>
    <t xml:space="preserve">Castello Banfi, Rosso di Montalcino, DOC trocken, rot  </t>
  </si>
  <si>
    <t xml:space="preserve">Chianti Riserva La Colonnata DOCG   </t>
  </si>
  <si>
    <t>Donnafugata, Bell'Assai Frappato di Vittoria, Sizilien, DOC, trocken, rot</t>
  </si>
  <si>
    <t>Donnafugata, Sul Vulcano, Etna, DOC, trocken, rot</t>
  </si>
  <si>
    <t>Doppio Passo Primitivo di Mandurai Riserva, 0,75ltr</t>
  </si>
  <si>
    <t>Doppio Passo Primitivo Puglia IGT, haltrocken, 0,75ltr</t>
  </si>
  <si>
    <t xml:space="preserve">Frescobaldi, CastelGiocondo, Brunello di Montalcino, DOCG, trocken, rot  </t>
  </si>
  <si>
    <t xml:space="preserve">Frescobaldi, Castiglioni, Chianti, DOCG, trocken, rot  </t>
  </si>
  <si>
    <t>Frescobaldi, Mormoreto, Toscana, IGP, trocken, rot (Holzkiste)</t>
  </si>
  <si>
    <t xml:space="preserve">Frescobaldi, Nipozzano, Chianti Rùfina, Riserva, DOCG, dry, red  </t>
  </si>
  <si>
    <t xml:space="preserve">Frescobaldi, Nipozzano, Vecchie Viti, Chianti Rùfina, Riserva, DOCG, trocken, rot </t>
  </si>
  <si>
    <t xml:space="preserve">Frescobaldi, Rèmole, Toskana,IGP,dry,red   </t>
  </si>
  <si>
    <t>La Braccesca, Achelo Rosso Cortona, Syrah, DOC, trocken, rot</t>
  </si>
  <si>
    <t xml:space="preserve">Luce della Vite, Lucente, Toskana, IGP, trocken, rot  </t>
  </si>
  <si>
    <t xml:space="preserve">Marchesi di Barolo, Barbaresco, DOCG, trocken, rot  </t>
  </si>
  <si>
    <t xml:space="preserve">Marchesi di Barolo, Barbera d'Alba, Peiragal, DOC, trocken, rot  </t>
  </si>
  <si>
    <t xml:space="preserve">Marchesi di Barolo, Dolcetto d'Alba, Madonna del Dono, DOC, trocken, rot  </t>
  </si>
  <si>
    <t xml:space="preserve">Marchesi di Barolo, La Tradizione, DOGC, trocken, rot  </t>
  </si>
  <si>
    <t xml:space="preserve">Masi Campofiorin, Rosso del Veronese, Venetien, IGP, trocken, rot  </t>
  </si>
  <si>
    <t xml:space="preserve">Masi, Bonacosta, Valpolicella Classico, DOC, red  </t>
  </si>
  <si>
    <t xml:space="preserve">Masi, Modello delle Venezie, Venetien, IGP, trocken, rot  </t>
  </si>
  <si>
    <t xml:space="preserve">Masi, Nectar Campofiorin, Rosso del Veronese, IGP, trocken, rot  </t>
  </si>
  <si>
    <t xml:space="preserve">Masi, Nectar Costasera, Amarone della Valpolicella Classico, DOCG, trocken, rot </t>
  </si>
  <si>
    <t xml:space="preserve">Massolino, Barbera d'Alba, DOC, trocken, rot  </t>
  </si>
  <si>
    <t xml:space="preserve">Massolino, Barolo, DOCG, trocken, rot   </t>
  </si>
  <si>
    <t xml:space="preserve">Massolino, Langhe Nebbiolo, DOC, trocken, rot  </t>
  </si>
  <si>
    <t xml:space="preserve">Montepulciano d´Abruzzo DOC, red, dry   </t>
  </si>
  <si>
    <t xml:space="preserve">Piccini Chianti Classico Riserva DOCG   </t>
  </si>
  <si>
    <t xml:space="preserve">Rebenthaler Ital.Tafelwein rot   </t>
  </si>
  <si>
    <t xml:space="preserve">Ruffino Riserva Ducale, Chianti Classica DOCG, trocken, rot  </t>
  </si>
  <si>
    <t xml:space="preserve">Santa Cristina Rosso, Toscana, IGT, trocken, rot  </t>
  </si>
  <si>
    <t>Serego Aligheri, Bell'Ovile, Toscana, IGT, trocken, rot (Bio)</t>
  </si>
  <si>
    <t>Serego Aligheri, Vaio, Amarone della Valpolicella Classico, Vaio, Amarone della Valpolicella Classico, DOCG, trocken, rot</t>
  </si>
  <si>
    <t>Tenuta di Biserno, Il Pino di Biserno, Tuscany, IGP, trocken, rot</t>
  </si>
  <si>
    <t xml:space="preserve">Tenuta Frescobaldi di Castiglioni, Toscana, IGP, trocken, rot  </t>
  </si>
  <si>
    <t xml:space="preserve">Tommasi San Rafael, Valpolicella Classico Superiore, DOC, trocken, rot  </t>
  </si>
  <si>
    <t>Tommasi, Amarone della Valpolicella Classico, DOCG, trocken, rot</t>
  </si>
  <si>
    <t xml:space="preserve">Tommasi, Casisano,Brunello di Montalcino DOCG, trocken, rot  </t>
  </si>
  <si>
    <t>Tommasi, Graticcio, Appassionato, Vino d'Italia, trocken, rot</t>
  </si>
  <si>
    <t xml:space="preserve">Tommasi, Ripasso della Valpolicella, DOC, dry, red  </t>
  </si>
  <si>
    <t xml:space="preserve">Tormaresca, Torcicoda, Primitivo, Salento, Apulien, IGP, trocken, rot  </t>
  </si>
  <si>
    <t xml:space="preserve">Viala Italienischer Rotwein sweet   </t>
  </si>
  <si>
    <t xml:space="preserve">Villa Antinori, Chianti Classico, Riserva DOCG, trocken, rot  </t>
  </si>
  <si>
    <t xml:space="preserve">Weingenuss Merlot del Veneto IGT   </t>
  </si>
  <si>
    <t xml:space="preserve">Zenato, Amarone della Valpolicella Classico, DOCG, trocken, rot  </t>
  </si>
  <si>
    <t xml:space="preserve">Zenato, Valpolicella Classico Superiore, DOC, trocken, rot  </t>
  </si>
  <si>
    <t>REDWINE / NZ</t>
  </si>
  <si>
    <t xml:space="preserve">Villa Maria, Pinot Noir, Marlborough, trocken, rot (Drehverschluss)  </t>
  </si>
  <si>
    <t>REDWINE / PT</t>
  </si>
  <si>
    <t>Niepoort, Fabelaktig, Douro, DOC, trocken, rot</t>
  </si>
  <si>
    <t>Niepoort, Vertente, Douro, DOC, trocken, rot</t>
  </si>
  <si>
    <t xml:space="preserve">Ramos Pinto, Duas Quintas, Douro, DOC, trocken, rot  </t>
  </si>
  <si>
    <t>Symington Family Estates, Altano, Douro, DOC, trocken, rot (Bio)</t>
  </si>
  <si>
    <t>REDWINE / US</t>
  </si>
  <si>
    <t>Bread &amp; Butter, Cabernet Sauvignon, AVA, trocken, rot</t>
  </si>
  <si>
    <t>Bread &amp; Butter, Pinot Noir,  AVA, trocken, rot</t>
  </si>
  <si>
    <t>DeLoach, Heritage Reserve, Zinfandel,  trocken, rot</t>
  </si>
  <si>
    <t xml:space="preserve">Eagle Creek Zinfandel, red   </t>
  </si>
  <si>
    <t xml:space="preserve">Gallo Family Vineyards, Cabernet Sauvignon, California, trocken, rot  </t>
  </si>
  <si>
    <t xml:space="preserve">Gallo Family Vineyards, Merlot, California, trocken, rot  </t>
  </si>
  <si>
    <t xml:space="preserve">Gallo Family Vineyards, Zinfandel, California, trocken, rot  </t>
  </si>
  <si>
    <t xml:space="preserve">La Crema Pinot Noir, Monterrey, dry, red   </t>
  </si>
  <si>
    <t xml:space="preserve">Meiomi, Pinot Noir, Monterey/Santa Barbara/Sonoma, trocken, rot (Drehverschluss) </t>
  </si>
  <si>
    <t xml:space="preserve">Mondavi Private Selection, Cabernet Sauvignon, red  </t>
  </si>
  <si>
    <t xml:space="preserve">Mondavi Private Selection,Pinot Noir red   </t>
  </si>
  <si>
    <t xml:space="preserve">Robert Mondavi, Woodbridge, Cabernet Sauvignon, Kalifornien, trocken, rot  </t>
  </si>
  <si>
    <t xml:space="preserve">The Prisoner, Zinfandel Blend, Napa Valley, Kalifornien, trocken, rot  </t>
  </si>
  <si>
    <t>REDWINE / ZA</t>
  </si>
  <si>
    <t>Boekenhoutskloof, Appellation Series, Cabernet Sauvignon, Stellenbosch, Wine of Origin, trocken, rot</t>
  </si>
  <si>
    <t>Boekenhoutskloof, Chocolate Block, Wine of Origin, Western Cape, dry, rot</t>
  </si>
  <si>
    <t xml:space="preserve">Golden Kaan Cabernet Sauvignon, red   </t>
  </si>
  <si>
    <t xml:space="preserve">Golden Kaan Merlot, red   </t>
  </si>
  <si>
    <t xml:space="preserve">Golden Kaan Pinotage, red   </t>
  </si>
  <si>
    <t xml:space="preserve">Golden Kaan Shiraz, red   </t>
  </si>
  <si>
    <t xml:space="preserve">Kanonkop, Cabernet Sauvignon, Estate Wine, Wine of Origin, Stellenbosch, trocken, rot </t>
  </si>
  <si>
    <t>Kanonkop, Kadette, Pinotage, Stellenbosch, Wine of Origin, trocken, rot</t>
  </si>
  <si>
    <t xml:space="preserve">KWV Roodeberg, Western Cape, red   </t>
  </si>
  <si>
    <t xml:space="preserve">KWV, Cabernet Sauvignon, red   </t>
  </si>
  <si>
    <t xml:space="preserve">La Motte, Cabernet Sauvignon, Wine of Origin, Coastal Region, trocken, rot  </t>
  </si>
  <si>
    <t xml:space="preserve">La Motte, Syrah, Wine of Origin, Coastal Region, trocken, rot  </t>
  </si>
  <si>
    <t xml:space="preserve">Nederburg, Varietals, Cabernet Sauvignon, Wine of Origin, Western Cape, trocken, rot </t>
  </si>
  <si>
    <t xml:space="preserve">Over Seas Cabernet Sauvignon,trocken,rot Südafrika  </t>
  </si>
  <si>
    <t xml:space="preserve">Over Seas Pinotage Südafrika, trocken   </t>
  </si>
  <si>
    <t>Montes Chardonnay Reserva, trocken, weiß</t>
  </si>
  <si>
    <t>Bramito, Chardonnay, Umbria, IGT, Antinori, Castello Della Sala, trocken, weiß</t>
  </si>
  <si>
    <t>Vermentino Bolgheri DOC, Antinori, Tenuta Guado Al Tasso, trocken, weiß</t>
  </si>
  <si>
    <t>Wein Rosé</t>
  </si>
  <si>
    <t>Markus Pfaffmann Dornfelder Chapeau Pfalz, trocken, rot</t>
  </si>
  <si>
    <t>ROSEWINE / AU</t>
  </si>
  <si>
    <t xml:space="preserve">Yellow Tail Pink Moscato, rosé   </t>
  </si>
  <si>
    <t>ROSÉWINE / DE</t>
  </si>
  <si>
    <t xml:space="preserve">Lorch Portugieser Weissherbst QBA tr.   </t>
  </si>
  <si>
    <t>Markus Pfaffmann Merlot Rosé Chapeau Pfalz, trocken, rosé</t>
  </si>
  <si>
    <t>ROSÉWINE / ES</t>
  </si>
  <si>
    <t>Bodegas Campillo, Campillo Rosé, Garnacha, Rioja DOCa, trocken, rosé</t>
  </si>
  <si>
    <t xml:space="preserve">Faustino, Faustino V, DO, Rioja, trocken, rosé  </t>
  </si>
  <si>
    <t>ROSÉWINE / FR</t>
  </si>
  <si>
    <t xml:space="preserve">Baron Philippe de Rothschild, Mouton Cadet, Bordeaux, AOC, trocken, rose  </t>
  </si>
  <si>
    <t xml:space="preserve">Barton &amp; Guestier, Passeport, Côtes de Provence, AOC, trocken, rosé  </t>
  </si>
  <si>
    <t xml:space="preserve">Barton &amp; Guestier, Réserve, Shiraz, Languedoc, IGP, trocken, rosé  </t>
  </si>
  <si>
    <t>Château de Miraval, Studio by Miraval, Mediterranée, IGP, trocken, rosé</t>
  </si>
  <si>
    <t xml:space="preserve">Gassier, Collection Carreaux , Côteaux d'Aix en Provence, AOC, trocken, rosé (Drehverschluss, Bio) </t>
  </si>
  <si>
    <t xml:space="preserve">Gassier, Esprit, Côtes de Provence, AOC, trocken, rosé (Drehverschluss)  </t>
  </si>
  <si>
    <t>Gérard Bertrand, Gris Blanc, Pays d’Oc, IGP, trocken, rosé (Drehverschluss)</t>
  </si>
  <si>
    <t xml:space="preserve">Guigal, Côtes du Rhône, AOC, dry, rosé   </t>
  </si>
  <si>
    <t xml:space="preserve">Guy Saget, Rosé d'Anjou, AOC, lieblich, rosé  </t>
  </si>
  <si>
    <t xml:space="preserve">J.P. Chenet, Medium Sweet, Languedoc, IGP, lieblich, rosé  </t>
  </si>
  <si>
    <t xml:space="preserve">J.P.Chenet Cinsault/Grenache, dry, rosé   </t>
  </si>
  <si>
    <t xml:space="preserve">Jolie-Pitt &amp; Perrin, Miraval, Côtes de Provence, AOC, trocken, rosé  </t>
  </si>
  <si>
    <t xml:space="preserve">Le Flamand Rosé VDP trocken   </t>
  </si>
  <si>
    <t xml:space="preserve">Attems, Pinot Grigio Ramato, Friaul, IGT, trocken, rosé  </t>
  </si>
  <si>
    <t xml:space="preserve">Bottega, Pinot Grigio, Veneto, IGT, trocken, rosé  </t>
  </si>
  <si>
    <t>Doppio Passo Primitivo Puglia IGT Rosato, trocken, 0,75ltr</t>
  </si>
  <si>
    <t xml:space="preserve">Frescobaldi, Tenuta d'Ammiraglia, Aliè, Toscana, IGT, trocken, rosé  </t>
  </si>
  <si>
    <t xml:space="preserve">Rosa dei Masi, Rosé del Veronese, IGP, trocken, rosé  </t>
  </si>
  <si>
    <t>Santa Cristina Giardino Rosato Toscana IGT, rosé</t>
  </si>
  <si>
    <t>ROSÉWINE / MK</t>
  </si>
  <si>
    <t xml:space="preserve">Mazedonischer Roséwein lieblich   </t>
  </si>
  <si>
    <t>ROSÉWINE / PR</t>
  </si>
  <si>
    <t xml:space="preserve">Mateus Rose   </t>
  </si>
  <si>
    <t xml:space="preserve">Portugieser Weissherbst QBA, liebl.,rosé   </t>
  </si>
  <si>
    <t xml:space="preserve">Portugieser Weissherbst RHH. QBA   </t>
  </si>
  <si>
    <t>ROSÉWINE / US</t>
  </si>
  <si>
    <t xml:space="preserve">Gallo Family Vineyards, Grenache Rosé, California, trocken, rosé, screw-cap  </t>
  </si>
  <si>
    <t xml:space="preserve">Over Seas California Zinfandel Rosé   </t>
  </si>
  <si>
    <t>ROSÉWINE / ZA</t>
  </si>
  <si>
    <t xml:space="preserve">Golden Kaan Rose, rosé   </t>
  </si>
  <si>
    <t>KWV Roodeberg, Western cape, rosé</t>
  </si>
  <si>
    <t>KWV Rosé, Western Cape</t>
  </si>
  <si>
    <t>Wein alkoholfrei</t>
  </si>
  <si>
    <t xml:space="preserve">Light Live Wein rot alkoholfrei   </t>
  </si>
  <si>
    <t>Torres, Sangre de Toro, Tinto, 0,0%, alkoholfrei, trocken, rot</t>
  </si>
  <si>
    <t xml:space="preserve">Light Live Wein rosé alkoholfrei   </t>
  </si>
  <si>
    <t>Torres, Sangre de Toro, Rosado, 0,0%, alkoholfrei, trocken, rosé</t>
  </si>
  <si>
    <t xml:space="preserve">Light Live Wein weiss alkoholfrei   </t>
  </si>
  <si>
    <t>Torres, Sangre de Toro, Blanco, 0,0%, alkoholfrei, trocken, weiß</t>
  </si>
  <si>
    <t>Frucht-/Likörweine</t>
  </si>
  <si>
    <t>FRUITWINE / DE</t>
  </si>
  <si>
    <t>Der Alte Hochstädter Speyerling Apfelwein</t>
  </si>
  <si>
    <t xml:space="preserve">Katlenburger Heidelbeerwein   </t>
  </si>
  <si>
    <t xml:space="preserve">Katlenburger Kirschwein   </t>
  </si>
  <si>
    <t xml:space="preserve">Christkindl Glühwein   </t>
  </si>
  <si>
    <t xml:space="preserve">Gerstacker Nürnberger Christkindl Markt-Glühwein   </t>
  </si>
  <si>
    <t xml:space="preserve">Mavrodaphne aus Patras Likoerwein   </t>
  </si>
  <si>
    <t>REDWINE / PR</t>
  </si>
  <si>
    <t xml:space="preserve">Madeira Likörwein   </t>
  </si>
  <si>
    <t xml:space="preserve">Cidre La Cidraie herb   </t>
  </si>
  <si>
    <t xml:space="preserve">Cidre La Cidraie lieblich   </t>
  </si>
  <si>
    <t xml:space="preserve">Kourt. Samos Likoerwein weiss   </t>
  </si>
  <si>
    <t>Lippenpflege</t>
  </si>
  <si>
    <t>Lippenpflegestift Classic 2 St.</t>
  </si>
  <si>
    <t>9.6 Gramm</t>
  </si>
  <si>
    <t>LABELLO</t>
  </si>
  <si>
    <t>Lippenbalsam Intensive Pflege</t>
  </si>
  <si>
    <t>5.5 Milliliter</t>
  </si>
  <si>
    <t>12 Stücke</t>
  </si>
  <si>
    <t xml:space="preserve">Lippenpflegestift Original   </t>
  </si>
  <si>
    <t>30 Milliliter</t>
  </si>
  <si>
    <t>Creme Körper</t>
  </si>
  <si>
    <t xml:space="preserve">Body Lotion Intensiv   </t>
  </si>
  <si>
    <t xml:space="preserve">Hydro Body Lotion   </t>
  </si>
  <si>
    <t xml:space="preserve">Nutrisse Body Milk   </t>
  </si>
  <si>
    <t xml:space="preserve">Apres Lotion Sensitiv   </t>
  </si>
  <si>
    <t xml:space="preserve">Bodylotion   </t>
  </si>
  <si>
    <t xml:space="preserve">Fuss-Balsam   </t>
  </si>
  <si>
    <t>10 Stücke</t>
  </si>
  <si>
    <t xml:space="preserve">MED Bodylotion   </t>
  </si>
  <si>
    <t>Nagellackkentferner  acetonfrei</t>
  </si>
  <si>
    <t>Reinigungsmilch  Aloe Vera</t>
  </si>
  <si>
    <t xml:space="preserve">Vaseline   </t>
  </si>
  <si>
    <t>NIVEA</t>
  </si>
  <si>
    <t>After Sun Lotion Bio-Aloe Vera &amp; Hyaluron</t>
  </si>
  <si>
    <t xml:space="preserve">Body Lotion Men   </t>
  </si>
  <si>
    <t>Body Lotion Q10</t>
  </si>
  <si>
    <t xml:space="preserve">Feuchtigkeits Apres Lotion   </t>
  </si>
  <si>
    <t xml:space="preserve">Lotion   </t>
  </si>
  <si>
    <t xml:space="preserve">Milk   </t>
  </si>
  <si>
    <t xml:space="preserve">Reinigungsmilch   </t>
  </si>
  <si>
    <t>SEBAMED</t>
  </si>
  <si>
    <t xml:space="preserve">Bodymilk   </t>
  </si>
  <si>
    <t>Creme Gesicht</t>
  </si>
  <si>
    <t>CD</t>
  </si>
  <si>
    <t>Softcreme Wasserlilie</t>
  </si>
  <si>
    <t xml:space="preserve">Clear Abdeckstift   </t>
  </si>
  <si>
    <t>4 Gramm</t>
  </si>
  <si>
    <t xml:space="preserve">Hydro Tagescreme   </t>
  </si>
  <si>
    <t>50 Milliliter</t>
  </si>
  <si>
    <t xml:space="preserve">MED Handcreme   </t>
  </si>
  <si>
    <t>75 Milliliter</t>
  </si>
  <si>
    <t>6 Tuben</t>
  </si>
  <si>
    <t xml:space="preserve">MED Nachtcreme   </t>
  </si>
  <si>
    <t>Nachtcreme Q10</t>
  </si>
  <si>
    <t xml:space="preserve">Ped. Urea Fusscreme   </t>
  </si>
  <si>
    <t>10 Tuben</t>
  </si>
  <si>
    <t>Q10 Augencreme</t>
  </si>
  <si>
    <t>15 Milliliter</t>
  </si>
  <si>
    <t>Sonnenmilch LSF. 30</t>
  </si>
  <si>
    <t>Sun D´OR Sonnenmilch LSF 30</t>
  </si>
  <si>
    <t>Tagescreme Q10</t>
  </si>
  <si>
    <t xml:space="preserve">Vital Augencreme Soja   </t>
  </si>
  <si>
    <t xml:space="preserve">Vital Tagescreme   </t>
  </si>
  <si>
    <t>ELKOS MEN</t>
  </si>
  <si>
    <t xml:space="preserve">Feuchtigkeitscreme   </t>
  </si>
  <si>
    <t>Gesichtscreme Q10</t>
  </si>
  <si>
    <t>FENJAL</t>
  </si>
  <si>
    <t xml:space="preserve">Cremebad Intensive Pflege   </t>
  </si>
  <si>
    <t>FLORENA</t>
  </si>
  <si>
    <t xml:space="preserve">Hand&amp;Nail Creme Aloe Vera   </t>
  </si>
  <si>
    <t xml:space="preserve">Hand&amp;Nail Creme Olivenöl   </t>
  </si>
  <si>
    <t>HANDSAN</t>
  </si>
  <si>
    <t xml:space="preserve">Creme Hand &amp; Nail   </t>
  </si>
  <si>
    <t>KAMILL</t>
  </si>
  <si>
    <t xml:space="preserve">Hand- und Nagelcreme Balsam   </t>
  </si>
  <si>
    <t xml:space="preserve">Hand- und Nagelcreme Express   </t>
  </si>
  <si>
    <t xml:space="preserve">Creme   </t>
  </si>
  <si>
    <t>5 Dosen</t>
  </si>
  <si>
    <t xml:space="preserve">Cremeseife   </t>
  </si>
  <si>
    <t>6 Stücke</t>
  </si>
  <si>
    <t xml:space="preserve">Gute-Nacht-Creme   </t>
  </si>
  <si>
    <t xml:space="preserve">Handcreme Anti Age   </t>
  </si>
  <si>
    <t xml:space="preserve">Men Feuchtigkeitscreme intensiv   </t>
  </si>
  <si>
    <t>3 Schachteln</t>
  </si>
  <si>
    <t xml:space="preserve">Men Gesichtscreme sensitive   </t>
  </si>
  <si>
    <t xml:space="preserve">Pflegedusche Creme Sensitive   </t>
  </si>
  <si>
    <t xml:space="preserve">Seife Creme Care   </t>
  </si>
  <si>
    <t xml:space="preserve">Soft Creme   </t>
  </si>
  <si>
    <t xml:space="preserve">Tagescreme fuer trockene Haut   </t>
  </si>
  <si>
    <t xml:space="preserve">Visage Feuchte Tagescreme   </t>
  </si>
  <si>
    <t>3 Tuben</t>
  </si>
  <si>
    <t>Visage Q10 Anti Falten LSF 15</t>
  </si>
  <si>
    <t>Visage Q10 Anti Falten Nachtcreme</t>
  </si>
  <si>
    <t>Visage Q10+ Augenpflege</t>
  </si>
  <si>
    <t xml:space="preserve">Visage Vital Aufbau-Tagescreme   </t>
  </si>
  <si>
    <t>3 Stücke</t>
  </si>
  <si>
    <t>Babypflege</t>
  </si>
  <si>
    <t>Baby Pants 6 XL, 18er</t>
  </si>
  <si>
    <t xml:space="preserve">18 </t>
  </si>
  <si>
    <t>4 KT</t>
  </si>
  <si>
    <t>Baby Shampoo</t>
  </si>
  <si>
    <t>Babysanft 9530 Waschgel Haut &amp; Haar</t>
  </si>
  <si>
    <t>Babysanft 9541 Waschschaum</t>
  </si>
  <si>
    <t>Babysanft 9548 Shampoo &amp; Dusche</t>
  </si>
  <si>
    <t>Babysanft 9560 Shampoo</t>
  </si>
  <si>
    <t>PENATEN</t>
  </si>
  <si>
    <t xml:space="preserve">Baby Pflegebad Kamille   </t>
  </si>
  <si>
    <t xml:space="preserve">Baby Seife   </t>
  </si>
  <si>
    <t xml:space="preserve">Baby-Shampoo extra mild   </t>
  </si>
  <si>
    <t xml:space="preserve">Bad + Shampoo Ultra Sensitiv   </t>
  </si>
  <si>
    <t xml:space="preserve">Wasch- und Duschcreme   </t>
  </si>
  <si>
    <t>Baby Creme</t>
  </si>
  <si>
    <t xml:space="preserve">Baby Wind &amp; Wetter Creme   </t>
  </si>
  <si>
    <t xml:space="preserve">Babywundschutzcreme parfuemfrei   </t>
  </si>
  <si>
    <t>Babysanft 9600 Pflegeoel</t>
  </si>
  <si>
    <t>Babysanft 9620 Pflegecreme</t>
  </si>
  <si>
    <t>BS 9580 Milk Lotion</t>
  </si>
  <si>
    <t xml:space="preserve">Baby Bad Kamille   </t>
  </si>
  <si>
    <t xml:space="preserve">Baby Lotion Intensiv   </t>
  </si>
  <si>
    <t xml:space="preserve">Baby Pflege Oel ultra-sensitive   </t>
  </si>
  <si>
    <t xml:space="preserve">Baby Wundschutzcremen Ultra sensitive   </t>
  </si>
  <si>
    <t xml:space="preserve">Pflegecreme Gesicht + Koerper   </t>
  </si>
  <si>
    <t xml:space="preserve">Puder   </t>
  </si>
  <si>
    <t xml:space="preserve">SOS Creme   </t>
  </si>
  <si>
    <t>Baby Windeln</t>
  </si>
  <si>
    <t>BUEBCHEN</t>
  </si>
  <si>
    <t>Aqua Touch Feuchttücher 3x48er</t>
  </si>
  <si>
    <t>Babytuecher sensitiv 2x80 Stk.</t>
  </si>
  <si>
    <t>Windeln Junior Gr. 5, 11-25 kg, 36 St.</t>
  </si>
  <si>
    <t>3 Pakete</t>
  </si>
  <si>
    <t>Windeln Maxi Gr. 4, 7-16 kg 42 St.</t>
  </si>
  <si>
    <t>Winderln XL Größe 6 29er</t>
  </si>
  <si>
    <t>Windeln Midi Gr. 3, 4-9 kg, 45 St.</t>
  </si>
  <si>
    <t>Babysanft 9577 feuchtes Toi-Papier 50er</t>
  </si>
  <si>
    <t>Babysanft Feuchttücher Soft &amp; Pur 3x48er</t>
  </si>
  <si>
    <t>BS 9699 Feuchttuecher 5x56er</t>
  </si>
  <si>
    <t>PAMPERS</t>
  </si>
  <si>
    <t>Baby Dry Pants Junior Gr. 5 82er</t>
  </si>
  <si>
    <t>Feuchttücher 5x52er sensitiv</t>
  </si>
  <si>
    <t>Windeln Baby Dry Gr. 3 Midi 124er</t>
  </si>
  <si>
    <t>Windeln Baby Dry Gr. 3 Midi 34er</t>
  </si>
  <si>
    <t>Windeln Baby Dry Gr. 4 Maxi 106er</t>
  </si>
  <si>
    <t>Windeln Baby Dry Gr. 4 Maxi 30er</t>
  </si>
  <si>
    <t>Windeln Baby Dry Gr. 5 Junior 90er</t>
  </si>
  <si>
    <t>2 Beutel</t>
  </si>
  <si>
    <t>Windeln Baby Dry Gr. 6 XL 13-18kg 80er</t>
  </si>
  <si>
    <t>2 Pakete</t>
  </si>
  <si>
    <t>Windeln New Baby Gr.1 Premium Protection 24er</t>
  </si>
  <si>
    <t>Windeln New Baby Gr.2 Mini Premium Protection 34St.</t>
  </si>
  <si>
    <t>Windeln Premium Protection Gr. 3 Midi 29St.</t>
  </si>
  <si>
    <t>Binden</t>
  </si>
  <si>
    <t>ALLWAYS</t>
  </si>
  <si>
    <t>Alldays Slipeinlagen Normal 76er.</t>
  </si>
  <si>
    <t>ALWAYS</t>
  </si>
  <si>
    <t>Binde Maxi Long m. Flügel 10er</t>
  </si>
  <si>
    <t>Ultra Binde normal 16 Stk</t>
  </si>
  <si>
    <t>Ultra Binde normal mit Flügel 12 Stk</t>
  </si>
  <si>
    <t>Ultra Damenbinden Normal 26 Stück</t>
  </si>
  <si>
    <t>CAMELIA</t>
  </si>
  <si>
    <t>Maxi Supernacht 20er</t>
  </si>
  <si>
    <t>Normal Maxi 24 Stk.</t>
  </si>
  <si>
    <t>CAREFREE</t>
  </si>
  <si>
    <t>Slipeinlagen Flexiform 56 Stk.</t>
  </si>
  <si>
    <t>COSMEA</t>
  </si>
  <si>
    <t>Super Nachtbinde 16er</t>
  </si>
  <si>
    <t>Damenbinden 14er Super (auch nachts)</t>
  </si>
  <si>
    <t>Damenbinden 20St. Normal</t>
  </si>
  <si>
    <t>Tampons</t>
  </si>
  <si>
    <t>O.B.</t>
  </si>
  <si>
    <t>Super Plus 16er</t>
  </si>
  <si>
    <t>Tampons Comfort Mini 16er</t>
  </si>
  <si>
    <t>Tampons Normal 16 Stk.</t>
  </si>
  <si>
    <t>Tampons normal 32er</t>
  </si>
  <si>
    <t>Tampons Original Super 16er</t>
  </si>
  <si>
    <t>Deo Frau</t>
  </si>
  <si>
    <t xml:space="preserve">Deo Roll-On Wasserlilie women   </t>
  </si>
  <si>
    <t xml:space="preserve">Deo Zerstaeuber Wasserlilie women   </t>
  </si>
  <si>
    <t xml:space="preserve">Deo Roll-On Original women   </t>
  </si>
  <si>
    <t>HIDROFUGAL</t>
  </si>
  <si>
    <t xml:space="preserve">Deo Roll-On Classic Women / Men   </t>
  </si>
  <si>
    <t xml:space="preserve">Deo Roll-On Duschfrisch Women / Men   </t>
  </si>
  <si>
    <t xml:space="preserve">Deo Roll-On Fresh Natural women   </t>
  </si>
  <si>
    <t xml:space="preserve">Deo Roll-On Invi. Black &amp; White Women   </t>
  </si>
  <si>
    <t xml:space="preserve">Deo Roll-On Invisible Black &amp; White Men   </t>
  </si>
  <si>
    <t xml:space="preserve">Deo Roll-On Pearl Beauty   </t>
  </si>
  <si>
    <t xml:space="preserve">Deo RollOn Dry weiss   </t>
  </si>
  <si>
    <t>REXONA</t>
  </si>
  <si>
    <t xml:space="preserve">Deo Roll On Women Cotton Dry   </t>
  </si>
  <si>
    <t xml:space="preserve">Deo Roll-On Shower Fresh women   </t>
  </si>
  <si>
    <t xml:space="preserve">Deo Frisch   </t>
  </si>
  <si>
    <t>Deo Mann</t>
  </si>
  <si>
    <t xml:space="preserve">Deo Roll-On Comfort Clean men   </t>
  </si>
  <si>
    <t xml:space="preserve">Deo Roll-On Cool Men   </t>
  </si>
  <si>
    <t xml:space="preserve">Deo Roll-On Men Dry Impact   </t>
  </si>
  <si>
    <t xml:space="preserve">Deo Roll-On Men Fresh Active   </t>
  </si>
  <si>
    <t xml:space="preserve">Deo Roll-On Sensitive Men   </t>
  </si>
  <si>
    <t xml:space="preserve">Deo Roll On Men Sport   </t>
  </si>
  <si>
    <t xml:space="preserve">Deo Roll-On Cobald Blue Men   </t>
  </si>
  <si>
    <t xml:space="preserve">Deo Roll-On Invisible Men   </t>
  </si>
  <si>
    <t>Duschgel Frau</t>
  </si>
  <si>
    <t xml:space="preserve">Duschgel Matcha &amp; Kirschblüte   </t>
  </si>
  <si>
    <t>DUSCHDAS</t>
  </si>
  <si>
    <t xml:space="preserve">Duschgel Blühend Schön   </t>
  </si>
  <si>
    <t>Duschgel Limette Minze</t>
  </si>
  <si>
    <t xml:space="preserve">Duschgel Reboot   </t>
  </si>
  <si>
    <t xml:space="preserve">Duschgel Überglücklich   </t>
  </si>
  <si>
    <t xml:space="preserve">Duschgel Vitalisiert   </t>
  </si>
  <si>
    <t xml:space="preserve">Duschcreme Soft + Care   </t>
  </si>
  <si>
    <t xml:space="preserve">Dusche Zitronengras + Limette   </t>
  </si>
  <si>
    <t xml:space="preserve">Duschpeeling   </t>
  </si>
  <si>
    <t xml:space="preserve">MED Dusche &amp; Shampoo   </t>
  </si>
  <si>
    <t xml:space="preserve">MED Waschlotion Sensitiv   </t>
  </si>
  <si>
    <t>Duschgel Sport Care 3in1</t>
  </si>
  <si>
    <t>FA</t>
  </si>
  <si>
    <t xml:space="preserve">Duschgel Joghurt Aloe   </t>
  </si>
  <si>
    <t xml:space="preserve">Duschgel Sensual &amp; Oil Monoiblüte   </t>
  </si>
  <si>
    <t xml:space="preserve">Body in Shower Milk   </t>
  </si>
  <si>
    <t xml:space="preserve">Pflegedusche Creme Soft   </t>
  </si>
  <si>
    <t xml:space="preserve">Pflegedusche Frangipani &amp; Oil   </t>
  </si>
  <si>
    <t xml:space="preserve">Pflegedusche Lemongras &amp; Oil   </t>
  </si>
  <si>
    <t>PALMOLIVE</t>
  </si>
  <si>
    <t xml:space="preserve">Duschgel Naturals Mandelmilch   </t>
  </si>
  <si>
    <t xml:space="preserve">Duschgel Naturals Milch   </t>
  </si>
  <si>
    <t>SCHAUMA</t>
  </si>
  <si>
    <t xml:space="preserve">Spuellung Frucht&amp;Vitamin   </t>
  </si>
  <si>
    <t xml:space="preserve">Duschoel   </t>
  </si>
  <si>
    <t xml:space="preserve">Frische Dusche   </t>
  </si>
  <si>
    <t xml:space="preserve">Waschemulsion   </t>
  </si>
  <si>
    <t xml:space="preserve">Waschemulsion Nachfuell   </t>
  </si>
  <si>
    <t xml:space="preserve">Wellness Dusche   </t>
  </si>
  <si>
    <t>Duschgel Mann</t>
  </si>
  <si>
    <t>AXE</t>
  </si>
  <si>
    <t xml:space="preserve">Duschgel Anti-Hangover   </t>
  </si>
  <si>
    <t xml:space="preserve">Duschgel Dark Temptation   </t>
  </si>
  <si>
    <t xml:space="preserve">Duschgel Gut Gelaunt   </t>
  </si>
  <si>
    <t xml:space="preserve">Duschgel Sport   </t>
  </si>
  <si>
    <t xml:space="preserve">For Men   </t>
  </si>
  <si>
    <t xml:space="preserve">Noire   </t>
  </si>
  <si>
    <t xml:space="preserve">Duschgel Kick Off   </t>
  </si>
  <si>
    <t xml:space="preserve">Duschgel Sport Active   </t>
  </si>
  <si>
    <t xml:space="preserve">Duschgel Sport Recharge   </t>
  </si>
  <si>
    <t>HEAD&amp;SHOULDERS</t>
  </si>
  <si>
    <t>For men Anti-Schuppen</t>
  </si>
  <si>
    <t xml:space="preserve">Dusche for men Original Care   </t>
  </si>
  <si>
    <t xml:space="preserve">Dusche for men Sport   </t>
  </si>
  <si>
    <t xml:space="preserve">Pflegedusche Deep Active Clean   </t>
  </si>
  <si>
    <t xml:space="preserve">Pflegedusche for men Energy   </t>
  </si>
  <si>
    <t xml:space="preserve">Duschgel Relax   </t>
  </si>
  <si>
    <t>Gesichtsreinigung</t>
  </si>
  <si>
    <t>CLEARASIL</t>
  </si>
  <si>
    <t xml:space="preserve"> Gesichtswasse D.Clearr   </t>
  </si>
  <si>
    <t xml:space="preserve">Augen-Makeup Entferner   </t>
  </si>
  <si>
    <t xml:space="preserve">Mildes Waschgel   </t>
  </si>
  <si>
    <t xml:space="preserve">Visage Gesichtswasser   </t>
  </si>
  <si>
    <t xml:space="preserve">Visage Gesichtswasser fuer trockene Haut   </t>
  </si>
  <si>
    <t>Gesicht Masken</t>
  </si>
  <si>
    <t xml:space="preserve"> Anti-Pickel Gel   </t>
  </si>
  <si>
    <t>8 Tuben</t>
  </si>
  <si>
    <t xml:space="preserve">Clear Waschgel   </t>
  </si>
  <si>
    <t>Reinigendes Peeling Gel   Aloe Vera</t>
  </si>
  <si>
    <t>SCHÄBENS</t>
  </si>
  <si>
    <t>Gesichtsmaske Auge 4x1,5ml</t>
  </si>
  <si>
    <t>6 Milliliter</t>
  </si>
  <si>
    <t>Gesichtsmaske Feuchtigkeit 2x5ml</t>
  </si>
  <si>
    <t>10 Milliliter</t>
  </si>
  <si>
    <t>Haargel</t>
  </si>
  <si>
    <t>BRISK</t>
  </si>
  <si>
    <t xml:space="preserve">Frisier Creme   </t>
  </si>
  <si>
    <t xml:space="preserve">Styling Gel Extra Stark   </t>
  </si>
  <si>
    <t>Styling Gel Mega Stark</t>
  </si>
  <si>
    <t>6 Tube</t>
  </si>
  <si>
    <t xml:space="preserve">Styling Gel Ultra Stark   </t>
  </si>
  <si>
    <t>Men Expert Haargel Extra</t>
  </si>
  <si>
    <t>Styling Gel Strong</t>
  </si>
  <si>
    <t>3 Tube</t>
  </si>
  <si>
    <t>SCHWARZKOPF</t>
  </si>
  <si>
    <t>GOT2BE Gel Halt 6</t>
  </si>
  <si>
    <t>STUDIO LINE</t>
  </si>
  <si>
    <t xml:space="preserve">FX Gel-Fluid Ultra   </t>
  </si>
  <si>
    <t>Haarkuren</t>
  </si>
  <si>
    <t>GLISS</t>
  </si>
  <si>
    <t xml:space="preserve">Tonic fuer trockenes Haar   </t>
  </si>
  <si>
    <t>Haarspray &amp; Schaumfestiger</t>
  </si>
  <si>
    <t xml:space="preserve">Pump-Haarspray  stark stark   </t>
  </si>
  <si>
    <t>120 Milliliter</t>
  </si>
  <si>
    <t>5 Flaschen</t>
  </si>
  <si>
    <t>Insektenschutz</t>
  </si>
  <si>
    <t>AERON</t>
  </si>
  <si>
    <t>Insectkill 3000 Plus Insektenschutz /-vernichter Spray</t>
  </si>
  <si>
    <t>24 FL</t>
  </si>
  <si>
    <t>AUTAN</t>
  </si>
  <si>
    <t xml:space="preserve">Family Care Spray Tropical   </t>
  </si>
  <si>
    <t xml:space="preserve">Protection Plus Pumpspray   </t>
  </si>
  <si>
    <t>CLEAN KILL</t>
  </si>
  <si>
    <t>Original Insekten- / Ungezieferspray</t>
  </si>
  <si>
    <t>375 Milliliter</t>
  </si>
  <si>
    <t>Rasierer</t>
  </si>
  <si>
    <t>Einwegrasierer 10er</t>
  </si>
  <si>
    <t>Einwegrasierer 5er</t>
  </si>
  <si>
    <t>GILLETTE</t>
  </si>
  <si>
    <t>Mach 3  Apparat + 1 Klingen</t>
  </si>
  <si>
    <t>Senor Excel Klingen 10er</t>
  </si>
  <si>
    <t>Skin Guard Sensitive Systemklingen 5er</t>
  </si>
  <si>
    <t>Venus Blue Klingen 4er</t>
  </si>
  <si>
    <t>WILKINSON</t>
  </si>
  <si>
    <t>Protector 3 Klingen 4er</t>
  </si>
  <si>
    <t>Rasierer mit 5 Klingen 155</t>
  </si>
  <si>
    <t>XTREME 3 Beauty Rasierer 6 + 2er</t>
  </si>
  <si>
    <t>Rasierschaum</t>
  </si>
  <si>
    <t>CP</t>
  </si>
  <si>
    <t xml:space="preserve">Palmolive Rasiercreme Classic   </t>
  </si>
  <si>
    <t xml:space="preserve">Palmolive Rasierschaum Aloe Vera   </t>
  </si>
  <si>
    <t xml:space="preserve">Palmolive Rasierschaum Classic   </t>
  </si>
  <si>
    <t xml:space="preserve">Enthaarungscreme   </t>
  </si>
  <si>
    <t>Kaltwachsstreifen für den Körper 20er</t>
  </si>
  <si>
    <t>8 Schachteln</t>
  </si>
  <si>
    <t xml:space="preserve">Rasierschaum fresh Men   </t>
  </si>
  <si>
    <t xml:space="preserve">Rasierschaum Men Sensitiv   </t>
  </si>
  <si>
    <t xml:space="preserve">Rasiergel Fresh   </t>
  </si>
  <si>
    <t xml:space="preserve">Rasiergel Sensitiv   </t>
  </si>
  <si>
    <t>ELKOS WOMEN</t>
  </si>
  <si>
    <t xml:space="preserve">Rasiergel   </t>
  </si>
  <si>
    <t xml:space="preserve">Rasierschaum   </t>
  </si>
  <si>
    <t xml:space="preserve"> Rasiergel fuer empfindliche Haut   </t>
  </si>
  <si>
    <t xml:space="preserve">Rasiergel fuer empfindliche Haut   </t>
  </si>
  <si>
    <t xml:space="preserve">Rasierschaum fuer empfindliche Haut   </t>
  </si>
  <si>
    <t xml:space="preserve">For men Rasiergel Mild   </t>
  </si>
  <si>
    <t xml:space="preserve">For men Rasierschaum Protect + Care   </t>
  </si>
  <si>
    <t>After Shave</t>
  </si>
  <si>
    <t>ALPECIN</t>
  </si>
  <si>
    <t xml:space="preserve">After Shampoo Doppeleffekt   </t>
  </si>
  <si>
    <t xml:space="preserve">After Shampoo liquid   </t>
  </si>
  <si>
    <t xml:space="preserve">After Shave Alaska   </t>
  </si>
  <si>
    <t xml:space="preserve">After Shave Fresh   </t>
  </si>
  <si>
    <t xml:space="preserve">After Shave Balsam   </t>
  </si>
  <si>
    <t xml:space="preserve">After Shave Balsam sensitiv   </t>
  </si>
  <si>
    <t xml:space="preserve">After Shave Balsam sensitiv cool   </t>
  </si>
  <si>
    <t>Seife Spender/Stück</t>
  </si>
  <si>
    <t>Milde Seife Aloe Vera</t>
  </si>
  <si>
    <t xml:space="preserve">Waschstueck   </t>
  </si>
  <si>
    <t>Flüssigseife Meerestraum</t>
  </si>
  <si>
    <t xml:space="preserve">Seife im Spender Milch &amp; Honig   </t>
  </si>
  <si>
    <t xml:space="preserve">Seife im Spender Sensitive   </t>
  </si>
  <si>
    <t xml:space="preserve">Seife Nachfuell Classic   </t>
  </si>
  <si>
    <t xml:space="preserve">Fluessig Seife Hygiene-Plus   </t>
  </si>
  <si>
    <t>SAGROTAN</t>
  </si>
  <si>
    <t xml:space="preserve">Des.Pumpspray   </t>
  </si>
  <si>
    <t xml:space="preserve">Compakt Seife   </t>
  </si>
  <si>
    <t>Shampoo</t>
  </si>
  <si>
    <t>Coffein Shampoo C1</t>
  </si>
  <si>
    <t>BEBE</t>
  </si>
  <si>
    <t xml:space="preserve">Shower &amp; Shampoo sanft   </t>
  </si>
  <si>
    <t xml:space="preserve">Antischuppen Shampoo   </t>
  </si>
  <si>
    <t xml:space="preserve">Baby-Shampoo   </t>
  </si>
  <si>
    <t xml:space="preserve">Shampoo Frucht+Vitamin   </t>
  </si>
  <si>
    <t xml:space="preserve">Shampoo Repair   </t>
  </si>
  <si>
    <t xml:space="preserve">Shampoo Volumen   </t>
  </si>
  <si>
    <t xml:space="preserve">Spuelung Repair   </t>
  </si>
  <si>
    <t>ELVITAL</t>
  </si>
  <si>
    <t xml:space="preserve">Shampoo Anti-Haarbruch   </t>
  </si>
  <si>
    <t xml:space="preserve">Shampoo Men Arginin Res.   </t>
  </si>
  <si>
    <t xml:space="preserve">Shampoo Non-Stop Volumen   </t>
  </si>
  <si>
    <t>Shampoo Repair 5</t>
  </si>
  <si>
    <t>FRUCTIS</t>
  </si>
  <si>
    <t xml:space="preserve">Shampoo Coco Water   </t>
  </si>
  <si>
    <t xml:space="preserve">Shampoo Kraft&amp;Glanz   </t>
  </si>
  <si>
    <t xml:space="preserve">Shampoo Total Repair   </t>
  </si>
  <si>
    <t xml:space="preserve">Shampoo Ultimate Color   </t>
  </si>
  <si>
    <t xml:space="preserve">Anti-Schuppen Shampoo Classic Clean   </t>
  </si>
  <si>
    <t xml:space="preserve">Shampoo Aufbau Pflege   </t>
  </si>
  <si>
    <t xml:space="preserve">Shampoo Color Schutz   </t>
  </si>
  <si>
    <t xml:space="preserve">Shampoo for Men   </t>
  </si>
  <si>
    <t xml:space="preserve">Shampoo Volumen, Kraft + Pflege   </t>
  </si>
  <si>
    <t>PANTENE</t>
  </si>
  <si>
    <t>3in1 Antischuppen</t>
  </si>
  <si>
    <t>Classic Care</t>
  </si>
  <si>
    <t>Pro V Shampoo Repair &amp; Care</t>
  </si>
  <si>
    <t>Shampoo Volumen pur 300 ml</t>
  </si>
  <si>
    <t>PLANTUR 39</t>
  </si>
  <si>
    <t xml:space="preserve">Coffein Shampoo   </t>
  </si>
  <si>
    <t>Shampoo 7 Kraeuter</t>
  </si>
  <si>
    <t xml:space="preserve">Shampoo Anti-Schuppen Classic   </t>
  </si>
  <si>
    <t xml:space="preserve">Shampoo For men   </t>
  </si>
  <si>
    <t>Shampoo Pro Vitamin B5</t>
  </si>
  <si>
    <t xml:space="preserve">Shampoo Superfrucht Repair   </t>
  </si>
  <si>
    <t xml:space="preserve">Spuelung Fresh it up   </t>
  </si>
  <si>
    <t xml:space="preserve">Everyday Shampoo   </t>
  </si>
  <si>
    <t>SYOSS</t>
  </si>
  <si>
    <t xml:space="preserve">Shampoo Color   </t>
  </si>
  <si>
    <t>440 Milliliter</t>
  </si>
  <si>
    <t xml:space="preserve">Shampoo Full Hair   </t>
  </si>
  <si>
    <t xml:space="preserve">Shampoo Keratin   </t>
  </si>
  <si>
    <t>Spülung</t>
  </si>
  <si>
    <t>GLISS KUR</t>
  </si>
  <si>
    <t xml:space="preserve">Ultimate Repair Spülung   </t>
  </si>
  <si>
    <t xml:space="preserve">Spülung Color Schutz   </t>
  </si>
  <si>
    <t xml:space="preserve">Spülung Repair Anti Spliss   </t>
  </si>
  <si>
    <t xml:space="preserve">Spuelung Color Glanz   </t>
  </si>
  <si>
    <t xml:space="preserve">Spuelung Repair Therapy   </t>
  </si>
  <si>
    <t>Zahnbürsten</t>
  </si>
  <si>
    <t>DR.BEST</t>
  </si>
  <si>
    <t xml:space="preserve">Flex Schwenkkopf-Zahnbuerste Sensitive   </t>
  </si>
  <si>
    <t xml:space="preserve">Original Zahnbuerste Mittel   </t>
  </si>
  <si>
    <t xml:space="preserve">Original Zahnbuerste weich   </t>
  </si>
  <si>
    <t xml:space="preserve">Zahnbuerste Original hart   </t>
  </si>
  <si>
    <t xml:space="preserve">Zahnbuerste Schwung Mittel   </t>
  </si>
  <si>
    <t>Interdent Bürsten extra fein 6er</t>
  </si>
  <si>
    <t>Zahnbuerste Mittel 2er</t>
  </si>
  <si>
    <t>13 Stücke</t>
  </si>
  <si>
    <t>9 Stücke</t>
  </si>
  <si>
    <t>Zahnseide mint 2x80m</t>
  </si>
  <si>
    <t>ORALB</t>
  </si>
  <si>
    <t>Zahnseide gewachst 50m</t>
  </si>
  <si>
    <t>SENSODYNE</t>
  </si>
  <si>
    <t>Zahnbuerste weich</t>
  </si>
  <si>
    <t>Zahncreme</t>
  </si>
  <si>
    <t>AJONA</t>
  </si>
  <si>
    <t xml:space="preserve">Zahncreme   </t>
  </si>
  <si>
    <t>25 Milliliter</t>
  </si>
  <si>
    <t>ARONAL</t>
  </si>
  <si>
    <t xml:space="preserve">Zahncreme Zahnfleischschutz   </t>
  </si>
  <si>
    <t>COLGATE</t>
  </si>
  <si>
    <t xml:space="preserve">Total Whitening   </t>
  </si>
  <si>
    <t xml:space="preserve">Zahncreme fresh cool   </t>
  </si>
  <si>
    <t xml:space="preserve">Zahncreme Total Original   </t>
  </si>
  <si>
    <t>DENTAGARD</t>
  </si>
  <si>
    <t>DR.WOLFF´S</t>
  </si>
  <si>
    <t xml:space="preserve">Bio Repair Zahncreme   </t>
  </si>
  <si>
    <t xml:space="preserve">DentaM. Zahncreme Flour Fresh   </t>
  </si>
  <si>
    <t xml:space="preserve">DentaM. Zahncreme Kräuter-Mix   </t>
  </si>
  <si>
    <t xml:space="preserve">DentaM. Zahncreme Sensitiv   </t>
  </si>
  <si>
    <t xml:space="preserve">DentaM. Zahncreme Zahnweiss   </t>
  </si>
  <si>
    <t>ELMEX</t>
  </si>
  <si>
    <t xml:space="preserve">Sensitiv Zahnpasta   </t>
  </si>
  <si>
    <t xml:space="preserve">Zahnpaste   </t>
  </si>
  <si>
    <t>MERIDOL</t>
  </si>
  <si>
    <t>ODOL</t>
  </si>
  <si>
    <t>Med 3 Zahncreme</t>
  </si>
  <si>
    <t>18 Tuben</t>
  </si>
  <si>
    <t>Med 3 Zahncreme Langzeit Frische</t>
  </si>
  <si>
    <t>Med 3, 40 Plus Zahncreme</t>
  </si>
  <si>
    <t xml:space="preserve">Med Zahncreme White up   </t>
  </si>
  <si>
    <t>PERLWEISS</t>
  </si>
  <si>
    <t xml:space="preserve">Perfekt Weiss   </t>
  </si>
  <si>
    <t xml:space="preserve">Zahncreme Classic   </t>
  </si>
  <si>
    <t xml:space="preserve">Zahncreme Flour   </t>
  </si>
  <si>
    <t xml:space="preserve">Zahncreme Repair + Protect   </t>
  </si>
  <si>
    <t>THERAMED</t>
  </si>
  <si>
    <t>Liquid 2in1 Original</t>
  </si>
  <si>
    <t xml:space="preserve">Spender Atemfrisch   </t>
  </si>
  <si>
    <t xml:space="preserve">Spender Complete Plus   </t>
  </si>
  <si>
    <t xml:space="preserve">Spender Naturweiß   </t>
  </si>
  <si>
    <t xml:space="preserve">Spender original   </t>
  </si>
  <si>
    <t>Mundpflege</t>
  </si>
  <si>
    <t>LISTERINE</t>
  </si>
  <si>
    <t>Mundspuelung  Advanced White</t>
  </si>
  <si>
    <t>Mundspuelung Cool Mint mild</t>
  </si>
  <si>
    <t>Mundspuelung Smart Kids Beere</t>
  </si>
  <si>
    <t xml:space="preserve">Mundspuelloesung   </t>
  </si>
  <si>
    <t xml:space="preserve">Mundspray Extra Frisch   </t>
  </si>
  <si>
    <t xml:space="preserve">Mundwasser   </t>
  </si>
  <si>
    <t xml:space="preserve">Mundwasser extra frisch   </t>
  </si>
  <si>
    <t>ODOL-MED3</t>
  </si>
  <si>
    <t xml:space="preserve">All in One Schutz Mundspülung   </t>
  </si>
  <si>
    <t>PARADONTAX</t>
  </si>
  <si>
    <t xml:space="preserve">Extra Frisch   </t>
  </si>
  <si>
    <t xml:space="preserve">Mundspuelung   </t>
  </si>
  <si>
    <t>Natürlich Weiß</t>
  </si>
  <si>
    <t>Produkte für Kinder</t>
  </si>
  <si>
    <t xml:space="preserve">Kinder-Shampoo   </t>
  </si>
  <si>
    <t>Shampoo + Duschgel Cola Monster</t>
  </si>
  <si>
    <t>230 Milliliter</t>
  </si>
  <si>
    <t>Traumbad</t>
  </si>
  <si>
    <t>Kinderzahnbürste Tabaluga 2er</t>
  </si>
  <si>
    <t xml:space="preserve">Kinderzahncreme Tabaluga   </t>
  </si>
  <si>
    <t xml:space="preserve">Kinderzahncreme   </t>
  </si>
  <si>
    <t>Babysanft 9571 Kindercreme</t>
  </si>
  <si>
    <t>ODOL MED 3</t>
  </si>
  <si>
    <t xml:space="preserve">Kinder-Zahncreme   </t>
  </si>
  <si>
    <t>SIGNAL</t>
  </si>
  <si>
    <t xml:space="preserve">Junior-Kinderzahnbuerste   </t>
  </si>
  <si>
    <t xml:space="preserve">Zahnbuerste kids   </t>
  </si>
  <si>
    <t xml:space="preserve">Zahncreme Kariesschutz   </t>
  </si>
  <si>
    <t xml:space="preserve">Zahncreme Kindergel   </t>
  </si>
  <si>
    <t>Haushaltswaren</t>
  </si>
  <si>
    <t xml:space="preserve">Destilliertes Wasser   </t>
  </si>
  <si>
    <t>Geschirr Einweg</t>
  </si>
  <si>
    <t>PAPSTAR</t>
  </si>
  <si>
    <t>Deko-Picker, 8cm, farbig sortiert 500 St</t>
  </si>
  <si>
    <t>16 Stücke</t>
  </si>
  <si>
    <t>Getränkebecher, 70 St., PLA, "pure", 0,3L, glasklar mit Schaumrand</t>
  </si>
  <si>
    <t>Holz-Zahnstocher 68mm, 1000 Stck.</t>
  </si>
  <si>
    <t>Holzlöffel "Pure" 15,7cm, 100 St.</t>
  </si>
  <si>
    <t>Holzmesser "Pure" 16,5cm, 100 St.</t>
  </si>
  <si>
    <t>Papiertischtuch mit Präg., weiß, 100x1 m</t>
  </si>
  <si>
    <t>Pappschalen "Pure" 9x14x3cm 250St.,weiss</t>
  </si>
  <si>
    <t>Pappschalen "Pure" 9x9x3cm 250St., weiss</t>
  </si>
  <si>
    <t>Plastikgabeln weiss 17,5cm, 100pc</t>
  </si>
  <si>
    <t>Plastikkaffeelöffel weiss 12,5cm, 100pc</t>
  </si>
  <si>
    <t>Pommes-Frites-Gabeln, Holz, 8,5cm,1000St</t>
  </si>
  <si>
    <t>Schale aus Palmblatt "pure", rund 13cm, 25 St.</t>
  </si>
  <si>
    <t>Suppenterrine, PP, 750ml, weiß, 100Stck.</t>
  </si>
  <si>
    <t>Teller aus Palmblatt "pure", rund 23cm, 25 St-</t>
  </si>
  <si>
    <t>Teller Pappe 13x20cm, 250st</t>
  </si>
  <si>
    <t>Trinkbecher PP weiß, 0,2ltr, 100st</t>
  </si>
  <si>
    <t>Trinkbecher, glasklar, PLA, 0,4lt, 75St. mit Schaumrand und Fuellstrich</t>
  </si>
  <si>
    <t>Trinkbecher, Pappe, 0,4ltr. 50St.</t>
  </si>
  <si>
    <t>Trinkhalme, Papier "pure" Ø 6 mm · 20 cm farbig sortiert "Dots"</t>
  </si>
  <si>
    <t>Zahnstocherspender 190 Stück</t>
  </si>
  <si>
    <t>Gläser</t>
  </si>
  <si>
    <t>EZH</t>
  </si>
  <si>
    <t>Rotwein Kristallgläser, 2 St., 630ml</t>
  </si>
  <si>
    <t xml:space="preserve">2 </t>
  </si>
  <si>
    <t>Sektkristallgläser, 2 St., 19cl</t>
  </si>
  <si>
    <t>Weißwein-Kristallgläser, 2 Stück, 440ml</t>
  </si>
  <si>
    <t>Bierglas Tulpe, 3er, 0,3L</t>
  </si>
  <si>
    <t xml:space="preserve">3 </t>
  </si>
  <si>
    <t>Longdrinkglas, 6St., 0,4L</t>
  </si>
  <si>
    <t>Schnapsgläser, 3St, 2cl</t>
  </si>
  <si>
    <t>Weizenbiergläser, 2 Stück, 0,5L</t>
  </si>
  <si>
    <t>2 Paket(e)</t>
  </si>
  <si>
    <t>Bürsten &amp; Besen</t>
  </si>
  <si>
    <t>CORONET</t>
  </si>
  <si>
    <t>Besenstiel Holz 120cm, mit Gewinde</t>
  </si>
  <si>
    <t>Handwaschbuerste, Kunststoff, farbig sortiert, 10x5,5cm</t>
  </si>
  <si>
    <t>Metallstiel 130cm, mit Gewinde,ummantelt</t>
  </si>
  <si>
    <t>Profi-Kehrganitur 22cm, Kunststoff,schw.</t>
  </si>
  <si>
    <t>4 Stücke</t>
  </si>
  <si>
    <t>Profi-Kehrganitur 22cm,Kunststoff,silber</t>
  </si>
  <si>
    <t>Strassenbesen Holzkörper 40cm mit 24mm Durchm. Holzstiel 140cm</t>
  </si>
  <si>
    <t>Wasserschieber 45cm,Metall, syntetischer Gummi-Doppelstreifen</t>
  </si>
  <si>
    <t>Kerzen</t>
  </si>
  <si>
    <t>Spitzkerzen 10er creme</t>
  </si>
  <si>
    <t>Teelicher Maxi weiss 12er</t>
  </si>
  <si>
    <t>Teelichter 100er</t>
  </si>
  <si>
    <t>Teelichter 30er</t>
  </si>
  <si>
    <t>%Sale%</t>
  </si>
  <si>
    <t>"Bayrisch Blau" Deko-Picker 8cm 200 St.</t>
  </si>
  <si>
    <t>10 Tafelkerzen Ø 2,1 cm · 19,3 cm creme</t>
  </si>
  <si>
    <t>Kerzenmanschetten weiss 10 cm 100 Stk</t>
  </si>
  <si>
    <t>Leuchterkerzen tangorot  Ø2,3cm H=25cm 10er</t>
  </si>
  <si>
    <t>Luftballons gelb, 25cm, 10er</t>
  </si>
  <si>
    <t>Luftballons sortiert 28cm 100St.</t>
  </si>
  <si>
    <t>Spitzkerzen bordeaux  Ø2,2cm H=25cm 10er</t>
  </si>
  <si>
    <t>Spitzkerzen creme  Ø2,2cm H=25cm 4er</t>
  </si>
  <si>
    <t>Spitzkerzen weiss Ø2,2cm H=25cm 4er</t>
  </si>
  <si>
    <t>Stumpenkerzen altrosa Ø5cm H=10cm 8 St.</t>
  </si>
  <si>
    <t>Stumpenkerzen bordeaux Ø5cm H=10cm 8 St.</t>
  </si>
  <si>
    <t>Stumpenkerzen creme Ø5cm H=10cm 8 St.</t>
  </si>
  <si>
    <t>Stumpenkerzen dunkelblau Ø4cm H=9cm 10er</t>
  </si>
  <si>
    <t>Stumpenkerzen gelb Ø5cm H=10cm 8 St.</t>
  </si>
  <si>
    <t>Stumpenkerzen kiwi Ø5cm H=10cm 8 St.</t>
  </si>
  <si>
    <t>Stumpenkerzen rot Ø5cm H=10cm 8 St.</t>
  </si>
  <si>
    <t>Stumpenkerzen weiß Ø5cm H=10cm 8 St.</t>
  </si>
  <si>
    <t>Tafelkerzen Birke Ø2,1cm H=19,3cm 10er</t>
  </si>
  <si>
    <t xml:space="preserve">10 </t>
  </si>
  <si>
    <t>Tafelkerzen Kirsche  Ø2,1cm H=19,3cm 10er</t>
  </si>
  <si>
    <t>Tafelkerzen rot Ø2,15cm H=19,6cm 30st</t>
  </si>
  <si>
    <t>Tafelkerzen tangorot Ø2,1cm H=19,3cm 10er</t>
  </si>
  <si>
    <t>Tafelkerzen weiss Ø2,15cm H=19,6cm 10er</t>
  </si>
  <si>
    <t>Teelicher Maxi weiss 24er</t>
  </si>
  <si>
    <t>Teelichter 10er, weiss</t>
  </si>
  <si>
    <t>Servietten</t>
  </si>
  <si>
    <t>Servietten creme, 33x33cm, 3-lag., 30St.</t>
  </si>
  <si>
    <t>Servietten gruen, 33x33cm, 3-lag., 30St.</t>
  </si>
  <si>
    <t>Servietten orange, 33x33cm, 3-lag, 30St.</t>
  </si>
  <si>
    <t>Servietten rot, 33x33cm, 3-lag., 30St.</t>
  </si>
  <si>
    <t>Servietten weiss, 33x33cm, 3-lag., 30St.</t>
  </si>
  <si>
    <t>Servietten 24x24cm, 3-lg, weiss, 20pc</t>
  </si>
  <si>
    <t>Servietten dunkelblau 40x40cm  50St.</t>
  </si>
  <si>
    <t>Servietten dunkelgruen 40x40cm 50St.</t>
  </si>
  <si>
    <t>Toilettenpapier und Feuchttücher</t>
  </si>
  <si>
    <t>COTTONELLE</t>
  </si>
  <si>
    <t>Feuchttücher Sensitive 44er NF</t>
  </si>
  <si>
    <t>Feuchttuecher pflegend 44er</t>
  </si>
  <si>
    <t>Feuchttuecher mit Aloe Vera 150er-Box</t>
  </si>
  <si>
    <t>Feuchtes Toilettenpapier NF 2x70er</t>
  </si>
  <si>
    <t>Toilettenpapier Classic 3-lag.10x200Bl.</t>
  </si>
  <si>
    <t>Toilettenpapier Premium 4-lag.10x180Bl.</t>
  </si>
  <si>
    <t>Toilettenpapier, 3-lag, Rec. 8x220Blatt</t>
  </si>
  <si>
    <t>HAKLE</t>
  </si>
  <si>
    <t>3-lagig Jasmin 8x150Blatt</t>
  </si>
  <si>
    <t>Toilettenpapier Feucht 42er-Box</t>
  </si>
  <si>
    <t>MACH MIT</t>
  </si>
  <si>
    <t>Toilettenpapier 3-lagig 8x150 Blatt</t>
  </si>
  <si>
    <t>ZEWA</t>
  </si>
  <si>
    <t>Soft, Toi.-Papier, 3-lagig, 8x150 Blatt</t>
  </si>
  <si>
    <t>Sonstige Waren</t>
  </si>
  <si>
    <t>SPONTEX</t>
  </si>
  <si>
    <t>Haushaltshandschuh Feeling Gr.6-6,5</t>
  </si>
  <si>
    <t>Haushaltshandschuh Hausputz Gr.7-7,5</t>
  </si>
  <si>
    <t>Haushaltshandschuh Hausputz Gr.8-8,5</t>
  </si>
  <si>
    <t>Elektro &amp; Tecknik</t>
  </si>
  <si>
    <t>VARTA</t>
  </si>
  <si>
    <t>High Energy AA LR06, 1,5V, 4 St.</t>
  </si>
  <si>
    <t>High Energy AAA LR03, 1,5V, 4 St.</t>
  </si>
  <si>
    <t>High Energy D LR20, 1,5V, 2 St.</t>
  </si>
  <si>
    <t>Longlife AA LR06, 1,5V, 4 St.</t>
  </si>
  <si>
    <t>Longlife AAA LR03, 1,5V, 4 St.</t>
  </si>
  <si>
    <t>Longlife C LR14 1,5V, 2 St.</t>
  </si>
  <si>
    <t>Erste Hilfe</t>
  </si>
  <si>
    <t xml:space="preserve">Auto-Verbandskasten   </t>
  </si>
  <si>
    <t>HANSAPLAST</t>
  </si>
  <si>
    <t>Strips 40 st</t>
  </si>
  <si>
    <t>TABALUGA</t>
  </si>
  <si>
    <t>Kinderpflaster 30er</t>
  </si>
  <si>
    <t>Allzweckreiniger</t>
  </si>
  <si>
    <t>AJAX</t>
  </si>
  <si>
    <t xml:space="preserve">Allzweckreiniger Frischeduft   </t>
  </si>
  <si>
    <t xml:space="preserve">Allzweckreiniger Frühlingsblume   </t>
  </si>
  <si>
    <t xml:space="preserve">Allzweckreiniger Zitrone   </t>
  </si>
  <si>
    <t>DER GENERAL</t>
  </si>
  <si>
    <t>DR. BECHER</t>
  </si>
  <si>
    <t xml:space="preserve">Backofen- u.Grillreiniger, Sprühflasche   </t>
  </si>
  <si>
    <t>FROSCH</t>
  </si>
  <si>
    <t xml:space="preserve">Essig Reiniger   </t>
  </si>
  <si>
    <t xml:space="preserve">Orange Universal Reiniger   </t>
  </si>
  <si>
    <t xml:space="preserve">Soda-Allzweckreiniger   </t>
  </si>
  <si>
    <t xml:space="preserve">Allzweckreiniger Citrus   </t>
  </si>
  <si>
    <t xml:space="preserve">Multi Fettloeser   </t>
  </si>
  <si>
    <t xml:space="preserve">Powerreiniger Kalk &amp; Schmutz   </t>
  </si>
  <si>
    <t>HENKEL</t>
  </si>
  <si>
    <t xml:space="preserve">Der General Allzweckrein. Bergfruehling   </t>
  </si>
  <si>
    <t>MEISTERPROPER</t>
  </si>
  <si>
    <t xml:space="preserve">Haushaltsreiniger Meeresfrisch   </t>
  </si>
  <si>
    <t>SIDOLIN</t>
  </si>
  <si>
    <t>Multi Flaechenreiniger 5 in 1 Ideal für Glas, Holz, TV &amp; Hifi, Metall</t>
  </si>
  <si>
    <t>SONAX</t>
  </si>
  <si>
    <t xml:space="preserve">XTREME AutoInnenReiniger   </t>
  </si>
  <si>
    <t>Boden/Möbelpflege</t>
  </si>
  <si>
    <t>EMSAL</t>
  </si>
  <si>
    <t xml:space="preserve">Bodenpflege-Reiniger fuer alle Boeden   </t>
  </si>
  <si>
    <t xml:space="preserve">Kork- und Laminatpflege   </t>
  </si>
  <si>
    <t>POLIBOY</t>
  </si>
  <si>
    <t xml:space="preserve">Möbelpflege Fix-Neu Dunkel   </t>
  </si>
  <si>
    <t xml:space="preserve">Möbelpflege Fix-Neu Hell   </t>
  </si>
  <si>
    <t>VANISH OXI</t>
  </si>
  <si>
    <t xml:space="preserve">Action Teppichreiniger   </t>
  </si>
  <si>
    <t>660 Milliliter</t>
  </si>
  <si>
    <t>Vanish Pet Teppich Multi Textil Spray</t>
  </si>
  <si>
    <t>Geschirrspülmittel</t>
  </si>
  <si>
    <t>CALGON</t>
  </si>
  <si>
    <t>Waschmaschinenreiniger Wasserenthärter Power Gel 4in1, 43 Wl</t>
  </si>
  <si>
    <t>2150 Milliliter</t>
  </si>
  <si>
    <t>CLARO ÖKO</t>
  </si>
  <si>
    <t>Geschirrspültaps Classic 40er</t>
  </si>
  <si>
    <t>Geschirrspültaps Hygiene 30er all in 1</t>
  </si>
  <si>
    <t>Geschirrspültaps Multi 30er all in 1</t>
  </si>
  <si>
    <t xml:space="preserve">Klarspüler   </t>
  </si>
  <si>
    <t xml:space="preserve">Spülmaschinen Hygiene-Salz   </t>
  </si>
  <si>
    <t>FAIRY</t>
  </si>
  <si>
    <t xml:space="preserve">Spülmittel Max Power Original   </t>
  </si>
  <si>
    <t>FINISH</t>
  </si>
  <si>
    <t xml:space="preserve">Klarspueler   </t>
  </si>
  <si>
    <t xml:space="preserve">Maschinenpflege   </t>
  </si>
  <si>
    <t xml:space="preserve">Neutral Seifenreiniger   </t>
  </si>
  <si>
    <t xml:space="preserve">Spuelmittel Limone   </t>
  </si>
  <si>
    <t>Spül-Gel Zitronenminze</t>
  </si>
  <si>
    <t>Power ClassicTabs MGSM 60x18g</t>
  </si>
  <si>
    <t>5 Schachteln</t>
  </si>
  <si>
    <t xml:space="preserve">Spezialsalz   </t>
  </si>
  <si>
    <t xml:space="preserve">Spuelmittel Balsam   </t>
  </si>
  <si>
    <t xml:space="preserve">Spuelmittel Original   </t>
  </si>
  <si>
    <t>Spülmittel Ultra Konzentrat Orchidee</t>
  </si>
  <si>
    <t>PRIL</t>
  </si>
  <si>
    <t>Spülmittel Guave &amp; Drachenfrucht</t>
  </si>
  <si>
    <t>14 Flaschen</t>
  </si>
  <si>
    <t>16 Flaschen</t>
  </si>
  <si>
    <t>Spülmittel Hygienische Frische</t>
  </si>
  <si>
    <t xml:space="preserve">Spülmittel Kraftgel Ultra Plus   </t>
  </si>
  <si>
    <t xml:space="preserve">Spülmittel Original   </t>
  </si>
  <si>
    <t>675 Milliliter</t>
  </si>
  <si>
    <t xml:space="preserve">Spülmittel Supra Kraftgel Ultra Plus   </t>
  </si>
  <si>
    <t>Spülmittel Zitrone</t>
  </si>
  <si>
    <t>SOMAT</t>
  </si>
  <si>
    <t>Pulver Classic 150WL</t>
  </si>
  <si>
    <t>3 Kilogramm</t>
  </si>
  <si>
    <t xml:space="preserve">Reiniger-Pulver   </t>
  </si>
  <si>
    <t>1.2 Kilogramm</t>
  </si>
  <si>
    <t xml:space="preserve">Salz   </t>
  </si>
  <si>
    <t>SOMAT 7</t>
  </si>
  <si>
    <t>All-in-1 Tabs 57er</t>
  </si>
  <si>
    <t>WC &amp; Bad</t>
  </si>
  <si>
    <t>AIRWICK</t>
  </si>
  <si>
    <t xml:space="preserve">Duftgel Bluetenfrische   </t>
  </si>
  <si>
    <t xml:space="preserve">Duftgel Gletscherfrische   </t>
  </si>
  <si>
    <t>BIFF</t>
  </si>
  <si>
    <t xml:space="preserve">Badreiniger Zitrus   </t>
  </si>
  <si>
    <t>DOMESTOS</t>
  </si>
  <si>
    <t xml:space="preserve">Aktiv Kraft WC Gel Oceon Fresh   </t>
  </si>
  <si>
    <t xml:space="preserve">WC Gel Floral </t>
  </si>
  <si>
    <t xml:space="preserve">WC Gel Lemon   </t>
  </si>
  <si>
    <t>WC Stein Power 5 Ocean</t>
  </si>
  <si>
    <t xml:space="preserve">Dusche&amp;Bad Reiniger Citrus   </t>
  </si>
  <si>
    <t xml:space="preserve">Scheuermilch Zitrone   </t>
  </si>
  <si>
    <t xml:space="preserve">Urin-/Kalkstein-Reiniger Lavendel   </t>
  </si>
  <si>
    <t xml:space="preserve">WC Reiniger Zitrone   </t>
  </si>
  <si>
    <t xml:space="preserve">WC-Essigreiniger   </t>
  </si>
  <si>
    <t xml:space="preserve">Badreiniger   </t>
  </si>
  <si>
    <t xml:space="preserve">Rohrfrei Gel   </t>
  </si>
  <si>
    <t xml:space="preserve">Scheuermilch   </t>
  </si>
  <si>
    <t>WC Reiniger Tabs 16x25g lemon</t>
  </si>
  <si>
    <t xml:space="preserve">WC-Reiniger   </t>
  </si>
  <si>
    <t>1000 Milliliter</t>
  </si>
  <si>
    <t xml:space="preserve">Ata Scheuermittel   </t>
  </si>
  <si>
    <t>OO</t>
  </si>
  <si>
    <t xml:space="preserve">WC-Reiniger Aktiv-Pulver   </t>
  </si>
  <si>
    <t>RORAX</t>
  </si>
  <si>
    <t xml:space="preserve">Abflussreiniger   </t>
  </si>
  <si>
    <t>WC-Reiniger 4in1 Citro</t>
  </si>
  <si>
    <t>THOMPSON</t>
  </si>
  <si>
    <t xml:space="preserve">WC-Frisch Duftspuelung Zitrus   </t>
  </si>
  <si>
    <t xml:space="preserve">WC-Frisch Duo Duftspueler Citrus   </t>
  </si>
  <si>
    <t>WC-Frisch Reinigungswwuerfel 2st</t>
  </si>
  <si>
    <t>VISS</t>
  </si>
  <si>
    <t xml:space="preserve">Anti-Bakteriell   </t>
  </si>
  <si>
    <t xml:space="preserve">Bad &amp; Dusche   </t>
  </si>
  <si>
    <t xml:space="preserve">Citrus Scheuermilch   </t>
  </si>
  <si>
    <t xml:space="preserve">Scheuermilch weiss   </t>
  </si>
  <si>
    <t>WC FRISCH</t>
  </si>
  <si>
    <t>WC Kraft Aktiv Lemon</t>
  </si>
  <si>
    <t xml:space="preserve">WC Spa Momente Vitalisierend </t>
  </si>
  <si>
    <t>WC-ENTE</t>
  </si>
  <si>
    <t>Total Aktiv Gel Citrus</t>
  </si>
  <si>
    <t xml:space="preserve">Total Aktiv Gel Marine   </t>
  </si>
  <si>
    <t>WCFRISCH</t>
  </si>
  <si>
    <t xml:space="preserve">DuoAktiv fluessiger Spender Lemon   </t>
  </si>
  <si>
    <t>Küche &amp; Fenster</t>
  </si>
  <si>
    <t xml:space="preserve">Glasreiniger mit Pistole   </t>
  </si>
  <si>
    <t xml:space="preserve">Kraftreiniger Kalk &amp; Schmutz   </t>
  </si>
  <si>
    <t xml:space="preserve">Kraftreiniger Universal Fettlöser   </t>
  </si>
  <si>
    <t>CILLIT BANG</t>
  </si>
  <si>
    <t xml:space="preserve">Spiritus Glasreiniger   </t>
  </si>
  <si>
    <t xml:space="preserve">Glas-Keramik-Rein   </t>
  </si>
  <si>
    <t xml:space="preserve">Sidolin Glasreiniger Cristal   </t>
  </si>
  <si>
    <t xml:space="preserve">Glasreiniger Zitrus Trigger   </t>
  </si>
  <si>
    <t xml:space="preserve">Sidol Universal-Kalkloeser   </t>
  </si>
  <si>
    <t xml:space="preserve">Glas &amp; Flächen   </t>
  </si>
  <si>
    <t>Küchen u. Taschentücher</t>
  </si>
  <si>
    <t>Falthandtuch 25x23cm 1-lagig 250Blatt</t>
  </si>
  <si>
    <t>Falthandtuch 25x23cm 2-lagig 250Blatt</t>
  </si>
  <si>
    <t>DEMAKEUP</t>
  </si>
  <si>
    <t>Abschmink Pads reine Baumwolle 70Stk.</t>
  </si>
  <si>
    <t>Wattestaebchen 300er Box</t>
  </si>
  <si>
    <t>Brillenputztücher 54er</t>
  </si>
  <si>
    <t>Kosmetiktuecher 3-lagig 90er</t>
  </si>
  <si>
    <t>Kuechenrolle 3-lagig 4x64Blatt</t>
  </si>
  <si>
    <t>Taschentuecher 15x10 Stk</t>
  </si>
  <si>
    <t>Taschentuecher 6x10 Stk</t>
  </si>
  <si>
    <t>Taschentuecherbox 100St.</t>
  </si>
  <si>
    <t>JEAN CAROL</t>
  </si>
  <si>
    <t>Wattepads 90er</t>
  </si>
  <si>
    <t>KLEENEX</t>
  </si>
  <si>
    <t>Balsam Taschentuecher Pocket 24x9pc</t>
  </si>
  <si>
    <t>Clean soft Kosmetiktuch 48er</t>
  </si>
  <si>
    <t>Clean soft Kosmetiktuch 56er</t>
  </si>
  <si>
    <t>Küchentücher 2x200 Blatt</t>
  </si>
  <si>
    <t>Creme Pflege Reinigungstücher 25er</t>
  </si>
  <si>
    <t>REGINA</t>
  </si>
  <si>
    <t>Softis Taschentuecher 15x9er Aloe Vera</t>
  </si>
  <si>
    <t>TEMPO</t>
  </si>
  <si>
    <t>Taschentuecher 30x10 Stk.</t>
  </si>
  <si>
    <t>Soft 4-lagig 8x150 Blatt</t>
  </si>
  <si>
    <t>Softis Taschentuecher 10x15 Stk.</t>
  </si>
  <si>
    <t>Softis Taschentuecher 30x10 Stk.</t>
  </si>
  <si>
    <t>Wisch und Weg 2x86 Blatt</t>
  </si>
  <si>
    <t>Wisch und Weg 4x45 Blatt Reinweiss</t>
  </si>
  <si>
    <t>Wisch und Weg Original 4x45 Blatt</t>
  </si>
  <si>
    <t>Müllbeutel</t>
  </si>
  <si>
    <t>Muellbeutel 35 Ltr. , 35 Stck.</t>
  </si>
  <si>
    <t>18 Rollen</t>
  </si>
  <si>
    <t>Muellbeutel mit Griff 50Ltr. 20 Stck.</t>
  </si>
  <si>
    <t>Muellbeutel mit Tragegriff 25lt 30St.</t>
  </si>
  <si>
    <t>Muellsaecke 120l, 10 St</t>
  </si>
  <si>
    <t>9 Rollen</t>
  </si>
  <si>
    <t>1 Rolle</t>
  </si>
  <si>
    <t>Muellsaecke blau, 60l, 10er</t>
  </si>
  <si>
    <t>Alu u. Frischhaltefolie</t>
  </si>
  <si>
    <t>FRAPAN</t>
  </si>
  <si>
    <t>Butterbrotpapier 16m</t>
  </si>
  <si>
    <t>20 Rollen</t>
  </si>
  <si>
    <t>Fruehstueckstueten 100 Stck.</t>
  </si>
  <si>
    <t>Alufolie 30 mtr.</t>
  </si>
  <si>
    <t>Backpapier 20m</t>
  </si>
  <si>
    <t>Frischhaltefolie 75m</t>
  </si>
  <si>
    <t>Gefrierbeutel 1 Ltr, 100 Stck.</t>
  </si>
  <si>
    <t>21 Rollen</t>
  </si>
  <si>
    <t>Kaffeefilter Gr.2 naturbraun 100St.</t>
  </si>
  <si>
    <t>Kaffeefilter Gr.4  100St.</t>
  </si>
  <si>
    <t>Filtertueten 100, naturbraun, 40 Stk.</t>
  </si>
  <si>
    <t>Filtertueten 102, naturbraun 80 Stk.</t>
  </si>
  <si>
    <t>Filtertueten 1x4 Braun 80 stück</t>
  </si>
  <si>
    <t>Filtertueten 1x4, 40 Stk.</t>
  </si>
  <si>
    <t>Toppits Aroma-Bratschlauch 30,8cm x 3m</t>
  </si>
  <si>
    <t>Alu-Folie Grossrolle 44cmx130m</t>
  </si>
  <si>
    <t>6 Rollen</t>
  </si>
  <si>
    <t>Alufolie in FS 10m x 30cm</t>
  </si>
  <si>
    <t>Aluschalen mit Deckel 21,8x15,4cm 25St</t>
  </si>
  <si>
    <t>Auskleidesaecke f.Muelltonnen 120L, 80St</t>
  </si>
  <si>
    <t>Backpapier 100 m x 38 cm</t>
  </si>
  <si>
    <t>Frischhaltefolie in FS 29cm x 30m</t>
  </si>
  <si>
    <t>Gefrierbeutel  transparent 60l 50St</t>
  </si>
  <si>
    <t>1 Schachtel</t>
  </si>
  <si>
    <t>Gefrierbeutel LLDPE 10lt 60x40cm 24Stück</t>
  </si>
  <si>
    <t>Gefrierbeutel LLDPE 1lt 24x16cm 100Stück</t>
  </si>
  <si>
    <t>Gefrierbeutel LLDPE 2lt 30x20cm 90Stück</t>
  </si>
  <si>
    <t>Gefrierbeutel LLDPE 3lt 32x25cm 75Stück</t>
  </si>
  <si>
    <t>Gefrierbeutel LLDPE 4lt 40x25cm 60Stück</t>
  </si>
  <si>
    <t>Gefrierbeutel LLDPE 6lt 46x30cm 45Stück</t>
  </si>
  <si>
    <t>Spritzbeutel 1,8lt 46x23cm transp.100St.</t>
  </si>
  <si>
    <t>9 Schachteln</t>
  </si>
  <si>
    <t>TOPPITS</t>
  </si>
  <si>
    <t>Anti-Haft Backpapier naturbraun 8m</t>
  </si>
  <si>
    <t>Fruehstuecksbeutel 1l, 55st</t>
  </si>
  <si>
    <t xml:space="preserve">Fruehstueckstuete   </t>
  </si>
  <si>
    <t>Gefrierbeutel 6l Standboden 20 St.</t>
  </si>
  <si>
    <t>10 Rollen</t>
  </si>
  <si>
    <t>Gefrierkochbeutel 1 Ltr, 30 Stck.</t>
  </si>
  <si>
    <t>16 Rollen</t>
  </si>
  <si>
    <t>Portions-Eiskugelbeutel 15St.</t>
  </si>
  <si>
    <t>Garten und Blumen</t>
  </si>
  <si>
    <t>Kohle-Anzünder 64er</t>
  </si>
  <si>
    <t xml:space="preserve">Grill-Holzkohle   </t>
  </si>
  <si>
    <t xml:space="preserve">Holzkohle-Grillbriketts   </t>
  </si>
  <si>
    <t>2.5 Kilogramm</t>
  </si>
  <si>
    <t>Universal Düngerstäbchen 30er</t>
  </si>
  <si>
    <t>SCHOLA</t>
  </si>
  <si>
    <t xml:space="preserve">Flüssigdünger   </t>
  </si>
  <si>
    <t>Schuhpflege</t>
  </si>
  <si>
    <t>ERDAL</t>
  </si>
  <si>
    <t>1-2-3 Schnellglanz schwarz, Schwamm</t>
  </si>
  <si>
    <t xml:space="preserve">Pflegeglanz schwarz   </t>
  </si>
  <si>
    <t xml:space="preserve">Schuhcreme farblos   </t>
  </si>
  <si>
    <t xml:space="preserve">Schuhcreme mittelbraun in der Tube   </t>
  </si>
  <si>
    <t xml:space="preserve">Schuhcreme schwarz in der Dose   </t>
  </si>
  <si>
    <t xml:space="preserve">Schuhcreme schwarz in der Tube   </t>
  </si>
  <si>
    <t>Waschmittel</t>
  </si>
  <si>
    <t>ACE</t>
  </si>
  <si>
    <t xml:space="preserve">Milde Bleiche   </t>
  </si>
  <si>
    <t>ARIEL</t>
  </si>
  <si>
    <t>All-in-1 Pods Universal Vollwaschmittel 15WL</t>
  </si>
  <si>
    <t>All-in1 Pods Color Waschmittel 15WL</t>
  </si>
  <si>
    <t>Color Waschmittel flüssig 20WL</t>
  </si>
  <si>
    <t>5 Flasche</t>
  </si>
  <si>
    <t>Color Waschmittel Pulver 80WL</t>
  </si>
  <si>
    <t>4.8 Kilogramm</t>
  </si>
  <si>
    <t>3 Kartons</t>
  </si>
  <si>
    <t>Color Waschpulver 20WL</t>
  </si>
  <si>
    <t>Colorwaschmittel, flüssig, 80WL, 4L</t>
  </si>
  <si>
    <t>4 Liter</t>
  </si>
  <si>
    <t>4 Flasche</t>
  </si>
  <si>
    <t>Pods Universal Vollwaschmittel 60WL</t>
  </si>
  <si>
    <t>1.284 Kilogramm</t>
  </si>
  <si>
    <t>Universal Vollwaschmittel, 80WL, 4L</t>
  </si>
  <si>
    <t>CORAL</t>
  </si>
  <si>
    <t>All in 1 Caps, Optimal Color 18 WL</t>
  </si>
  <si>
    <t>311 Gramm</t>
  </si>
  <si>
    <t>3 Becher</t>
  </si>
  <si>
    <t>4 Becher</t>
  </si>
  <si>
    <t>Optimal Color 23WL</t>
  </si>
  <si>
    <t>1.15 Liter</t>
  </si>
  <si>
    <t>DALLI</t>
  </si>
  <si>
    <t xml:space="preserve">Vollwaschmittel Fein + Color   </t>
  </si>
  <si>
    <t>1.1 Liter</t>
  </si>
  <si>
    <t>EVIDUR</t>
  </si>
  <si>
    <t xml:space="preserve">Gardinenweiss   </t>
  </si>
  <si>
    <t>FEBREZE</t>
  </si>
  <si>
    <t xml:space="preserve">Textilerfrischer Aprilfrisch   </t>
  </si>
  <si>
    <t>Fein &amp; Wollbalsam Waschmittel 30WL</t>
  </si>
  <si>
    <t>1.8 Liter</t>
  </si>
  <si>
    <t>Vollwaschmittel Citrus 18WL</t>
  </si>
  <si>
    <t>1.35 Kilogramm</t>
  </si>
  <si>
    <t>Waschmittel Aloe Vera 20WL</t>
  </si>
  <si>
    <t xml:space="preserve">Waschmittel btl   </t>
  </si>
  <si>
    <t xml:space="preserve">Waschmittel Citrus   </t>
  </si>
  <si>
    <t xml:space="preserve">Weichspueler Baumwollblüten   </t>
  </si>
  <si>
    <t xml:space="preserve">WeichspuelerGranatapfel   </t>
  </si>
  <si>
    <t>Black Line Waschmittel Konzentrat 37WL</t>
  </si>
  <si>
    <t>Color Waschmittel 30WL</t>
  </si>
  <si>
    <t>2.025 Kilogramm</t>
  </si>
  <si>
    <t>Colorwaschmittel 80 Waschladungen</t>
  </si>
  <si>
    <t>5.2 Kilogramm</t>
  </si>
  <si>
    <t>Colorwaschmittel Plus 20WL</t>
  </si>
  <si>
    <t xml:space="preserve">Compact Pulver Geschirrspüler   </t>
  </si>
  <si>
    <t>Feinwaschmittel Active Care 37WL</t>
  </si>
  <si>
    <t>Feinwaschmittel Sensitive 30WL</t>
  </si>
  <si>
    <t>Ultra Plus Vollwaschmittel 30WL</t>
  </si>
  <si>
    <t>Vollwaschmittel 80 Waschladungen</t>
  </si>
  <si>
    <t xml:space="preserve">Waesche Hygienespueler   </t>
  </si>
  <si>
    <t>Wäscheparfüm Blütenzauber</t>
  </si>
  <si>
    <t>210 Gramm</t>
  </si>
  <si>
    <t>Wäscheparfüm Meeresfrische</t>
  </si>
  <si>
    <t>Waschmittel White Line 37 WL</t>
  </si>
  <si>
    <t xml:space="preserve">Weichspueler Frühlingsfrisch   </t>
  </si>
  <si>
    <t xml:space="preserve">Weichspueler Morgenfrisch   </t>
  </si>
  <si>
    <t xml:space="preserve">Weichspueler Sommerfrisch   </t>
  </si>
  <si>
    <t>Wolle Feinwaschmittel 37WL</t>
  </si>
  <si>
    <t>HEITMANNS</t>
  </si>
  <si>
    <t xml:space="preserve">Waescheweiss   </t>
  </si>
  <si>
    <t>HOFFMANN</t>
  </si>
  <si>
    <t xml:space="preserve">Gardinen Waschpulver   </t>
  </si>
  <si>
    <t>HOFFMANNS</t>
  </si>
  <si>
    <t xml:space="preserve">Waesche-Steife   </t>
  </si>
  <si>
    <t>HOLSTE</t>
  </si>
  <si>
    <t xml:space="preserve">Schmierseife flüssig   </t>
  </si>
  <si>
    <t>KUSCHELWEICH</t>
  </si>
  <si>
    <t>Weichspüler Sanft &amp; Mild 34WL</t>
  </si>
  <si>
    <t>Weichspüler Sommerwind 34WL</t>
  </si>
  <si>
    <t>LENOR</t>
  </si>
  <si>
    <t>Pods Color Waschmittel Blütentraum 104WL</t>
  </si>
  <si>
    <t>6 Kartons</t>
  </si>
  <si>
    <t>Pods Universal Vollwaschmittel Aprilfrisch 104 WL</t>
  </si>
  <si>
    <t>Weichspüler Aprilfrisch 46WL</t>
  </si>
  <si>
    <t>Weichspüler Blütentraum 38WL</t>
  </si>
  <si>
    <t>950 Milliliter</t>
  </si>
  <si>
    <t>Weichspüler Meeresbrise 38 WL</t>
  </si>
  <si>
    <t>PERSIL</t>
  </si>
  <si>
    <t>Color Kraft-Gel 20WL</t>
  </si>
  <si>
    <t>900 Milliliter</t>
  </si>
  <si>
    <t>Kraft-Gel Universal 20WL</t>
  </si>
  <si>
    <t>Megaperls Sensitiv 16 WL</t>
  </si>
  <si>
    <t>1.12 Kilogramm</t>
  </si>
  <si>
    <t>Megaperls Universal 16WL</t>
  </si>
  <si>
    <t>1.04 Kilogramm</t>
  </si>
  <si>
    <t>Universal Discs 4in1 16WL</t>
  </si>
  <si>
    <t>272 Gramm</t>
  </si>
  <si>
    <t>Universal Kraft-Gel, 80WL, 3,6L</t>
  </si>
  <si>
    <t>3.6 Liter</t>
  </si>
  <si>
    <t>2 Flasche</t>
  </si>
  <si>
    <t>Universal Pulver 20WL</t>
  </si>
  <si>
    <t>1.26 Kilogramm</t>
  </si>
  <si>
    <t>Universal Sensitiv Gel, 20WL, 900ml</t>
  </si>
  <si>
    <t>0.9 Liter</t>
  </si>
  <si>
    <t>Universal Waschpulver 50WL</t>
  </si>
  <si>
    <t>1 Trommel</t>
  </si>
  <si>
    <t>Waschmittel flüssig Color Kraft-Gel 80WL 3,6Liter</t>
  </si>
  <si>
    <t>Waschpulver Color 130 Waschladungen</t>
  </si>
  <si>
    <t>Waschpulver Universal 130 Waschladungen</t>
  </si>
  <si>
    <t>PERWOLL</t>
  </si>
  <si>
    <t>Renew Feinwaschmittel flüssig Wolle &amp; Feines 27WL</t>
  </si>
  <si>
    <t>1.35 Liter</t>
  </si>
  <si>
    <t>Renew Waschmittel flüssig Color 27WL</t>
  </si>
  <si>
    <t>Renew Waschmittel flüssig Sport 27WL</t>
  </si>
  <si>
    <t>Renew Waschmittel flüssig White 27WL</t>
  </si>
  <si>
    <t>SIL</t>
  </si>
  <si>
    <t xml:space="preserve">Fleckensalz   </t>
  </si>
  <si>
    <t xml:space="preserve">Fleckenspray   </t>
  </si>
  <si>
    <t xml:space="preserve">Saptil   </t>
  </si>
  <si>
    <t>SOFTLAN</t>
  </si>
  <si>
    <t xml:space="preserve">Weichspueler Mild Sensitiv   </t>
  </si>
  <si>
    <t>Weichspueler Purple 45WL</t>
  </si>
  <si>
    <t>Weichspueler Soft &amp; Care 45WL</t>
  </si>
  <si>
    <t>SPEE</t>
  </si>
  <si>
    <t>Color Gel, flüssig, 22WL, 990ml</t>
  </si>
  <si>
    <t>0.99 Liter</t>
  </si>
  <si>
    <t>Sensitiv Gel, flüssig, 22WL, 990ml</t>
  </si>
  <si>
    <t>Waschmittel Universal Aktiv Gel 22WL</t>
  </si>
  <si>
    <t>990 Milliliter</t>
  </si>
  <si>
    <t>Waschpulver Megaperls 18WL</t>
  </si>
  <si>
    <t>1.215 Kilogramm</t>
  </si>
  <si>
    <t>Waschpulver Megaperls 18WL Color</t>
  </si>
  <si>
    <t>Waschpulver Megaperls 19WL Color</t>
  </si>
  <si>
    <t>1.14 Kilogramm</t>
  </si>
  <si>
    <t>Waschpulver Megaperls Universal 19WL</t>
  </si>
  <si>
    <t>VERNEL</t>
  </si>
  <si>
    <t xml:space="preserve">Weichspueler Hautintensiv   </t>
  </si>
  <si>
    <t>Schwämme</t>
  </si>
  <si>
    <t>Allzweckreiniger-Tuecher Antibakt. 80er</t>
  </si>
  <si>
    <t>Edelstahl Topfreiniger 6er</t>
  </si>
  <si>
    <t>Schwammtuch 5er</t>
  </si>
  <si>
    <t>Vliesbodentuch 2er</t>
  </si>
  <si>
    <t xml:space="preserve">Edelstahl-Putz   </t>
  </si>
  <si>
    <t>Soft Geschirrschwamm 2er</t>
  </si>
  <si>
    <t>Topfreiniger 3er</t>
  </si>
  <si>
    <t>Reinigungstücher</t>
  </si>
  <si>
    <t>Aufwaschtuch 35x35cm</t>
  </si>
  <si>
    <t>25 Stücke</t>
  </si>
  <si>
    <t>Fenstertuch 35x40cm</t>
  </si>
  <si>
    <t>Feudel/Aufnehmer 50x60cm</t>
  </si>
  <si>
    <t>Vlies Allzweck-Haushaltstuch 6er</t>
  </si>
  <si>
    <t xml:space="preserve">Microfibre economic Bodentuch   </t>
  </si>
  <si>
    <t>20 Stücke</t>
  </si>
  <si>
    <t>Spirinet 2+1</t>
  </si>
  <si>
    <t>Zigaretten</t>
  </si>
  <si>
    <t>American Spirit Blue 200er</t>
  </si>
  <si>
    <t xml:space="preserve">200 </t>
  </si>
  <si>
    <t>25 Stange</t>
  </si>
  <si>
    <t>1 Stange</t>
  </si>
  <si>
    <t>American Spirit Yellow 200er</t>
  </si>
  <si>
    <t>Camel Filter Blue KS, 200er Stange</t>
  </si>
  <si>
    <t>10 Stangen</t>
  </si>
  <si>
    <t>Camel Filter KS, 200er Stange</t>
  </si>
  <si>
    <t>Gauloises Blondes Blue, 200er Stange</t>
  </si>
  <si>
    <t>Gauloises Blondes Blue, 400er Stange</t>
  </si>
  <si>
    <t>50 Stangen</t>
  </si>
  <si>
    <t>Gauloises Blondes Red, 200er Stange</t>
  </si>
  <si>
    <t>Gauloises Blondes Red, 400er Stange</t>
  </si>
  <si>
    <t>30 Stange</t>
  </si>
  <si>
    <t>E-Zigaretten / Verdampfer</t>
  </si>
  <si>
    <t>ILUMA Terea Turquoise 200er</t>
  </si>
  <si>
    <t>50 Stange</t>
  </si>
  <si>
    <t>L&amp;M Blue, 200er Stange</t>
  </si>
  <si>
    <t>L&amp;M Red, 200 St. Stange</t>
  </si>
  <si>
    <t>Lucky Strike Original Red KS Filter, 200er Stange</t>
  </si>
  <si>
    <t>Lucky Strike Straight Red 200er</t>
  </si>
  <si>
    <t>Marlboro Gold Filter KS 5, 400er Stange</t>
  </si>
  <si>
    <t>Marlboro Red Filter KS, 400er Stange</t>
  </si>
  <si>
    <t>Pall Mall Blue (Light) KSF, 200er Stange</t>
  </si>
  <si>
    <t>5 Stangen</t>
  </si>
  <si>
    <t>Pall Mall Red KS Filter, 200er Stange</t>
  </si>
  <si>
    <t>R1 Blue (Light), 200er Stange</t>
  </si>
  <si>
    <t>Vogue Superslims Bleue, 200er Stange</t>
  </si>
  <si>
    <t>6 Stangen</t>
  </si>
  <si>
    <t>West Red KS Filter, 200er Stange</t>
  </si>
  <si>
    <t>West Red KS Filter, 400er Stange</t>
  </si>
  <si>
    <t>30 Stangen</t>
  </si>
  <si>
    <t>West Silver (Light) KS Filter, 200er Stange</t>
  </si>
  <si>
    <t>West Silver (Light) KS Filter, 400er Stange</t>
  </si>
  <si>
    <t>Winston Blue Filter KS, 200er Stange</t>
  </si>
  <si>
    <t>Winston Red Filter KS, 200er Stange</t>
  </si>
  <si>
    <t>Elfbar 600 Myst, 20mg Nikotin</t>
  </si>
  <si>
    <t>10 Stück</t>
  </si>
  <si>
    <t>Elfbar 600 Watermelon, 20mg Nikotin</t>
  </si>
  <si>
    <t>Prince Rich Taste 200er Stange</t>
  </si>
  <si>
    <t>Zigarillos/Zigarren</t>
  </si>
  <si>
    <t>Davidoff Gold Filter 200er</t>
  </si>
  <si>
    <t>Moods Filter 5x20St., Cigarillos</t>
  </si>
  <si>
    <t>Moods Filter Gold, 5x20St., Cigarillos</t>
  </si>
  <si>
    <t xml:space="preserve">100 </t>
  </si>
  <si>
    <t>Feinschnitt</t>
  </si>
  <si>
    <t>Drum Original 5x50gr.</t>
  </si>
  <si>
    <t>Pueblo Blue 5x50gr</t>
  </si>
  <si>
    <t>0.25 Kilogramm</t>
  </si>
  <si>
    <t>1 Pack</t>
  </si>
  <si>
    <t>Van Nelle Zware, Special Quality 5x50g</t>
  </si>
  <si>
    <t>Ripple+ Boost 600 Puffs, nikotinfrei</t>
  </si>
  <si>
    <t>6 ST</t>
  </si>
  <si>
    <t>Ripple+ Dream 600 Puffs, nikotinfrei</t>
  </si>
  <si>
    <t>Ripple+ Focus 600 Puffs, nikotinfrei</t>
  </si>
  <si>
    <t>Ripple+ Happy 600 Puffs, nikotinfrei</t>
  </si>
  <si>
    <t>Ripple+ Power 600 Puffs, nikotinfrei</t>
  </si>
  <si>
    <t>Ripple+ Relax 600 Puffs, nikotinfrei</t>
  </si>
  <si>
    <t>Katze</t>
  </si>
  <si>
    <t xml:space="preserve">Cat Knusperkissen Gefluegel+Kaese   </t>
  </si>
  <si>
    <t xml:space="preserve">Cat Knusperkissen Rind + Malz   </t>
  </si>
  <si>
    <t>Premium Klumpstreu</t>
  </si>
  <si>
    <t>1 Sack</t>
  </si>
  <si>
    <t>FELIX</t>
  </si>
  <si>
    <t xml:space="preserve">Trockenfutter Knuspermüsli Stubenracker Geflügel  </t>
  </si>
  <si>
    <t xml:space="preserve">Trockenfutter Sensation Meaty Huhn   </t>
  </si>
  <si>
    <t xml:space="preserve">Trockenfutter Sensation Meaty Rind   </t>
  </si>
  <si>
    <t xml:space="preserve">Trockenfutter Sensation Ocean   </t>
  </si>
  <si>
    <t>G&amp;G</t>
  </si>
  <si>
    <t>Klumpstreu</t>
  </si>
  <si>
    <t xml:space="preserve">Cat Gefluegel   </t>
  </si>
  <si>
    <t xml:space="preserve">Cat Knusper Menue Rind   </t>
  </si>
  <si>
    <t xml:space="preserve">Cat Rind   </t>
  </si>
  <si>
    <t>32 Pakete</t>
  </si>
  <si>
    <t xml:space="preserve">Cat Wild   </t>
  </si>
  <si>
    <t>Cat Zarte Stückchen Truthahn</t>
  </si>
  <si>
    <t xml:space="preserve">hygienestreustreu   </t>
  </si>
  <si>
    <t>20 Liter</t>
  </si>
  <si>
    <t xml:space="preserve">Seelachs und Kabeljau   </t>
  </si>
  <si>
    <t>SUPRAN</t>
  </si>
  <si>
    <t xml:space="preserve">Katzenstreu   </t>
  </si>
  <si>
    <t>Hund</t>
  </si>
  <si>
    <t>CESAR</t>
  </si>
  <si>
    <t xml:space="preserve">Feine Mahlzeit Pute und Rind   </t>
  </si>
  <si>
    <t>14 Dosen</t>
  </si>
  <si>
    <t xml:space="preserve">Gefluegel und Rind   </t>
  </si>
  <si>
    <t xml:space="preserve">Kalb und Gefluegel   </t>
  </si>
  <si>
    <t xml:space="preserve">Rind und Leber   </t>
  </si>
  <si>
    <t>Dog 5x Fleisch</t>
  </si>
  <si>
    <t xml:space="preserve">Dog Junior Gefluegel   </t>
  </si>
  <si>
    <t xml:space="preserve">Dog Lamm/Gefluegel/Kaninchen   </t>
  </si>
  <si>
    <t xml:space="preserve">Dog Trockenfutter Geflügel   </t>
  </si>
  <si>
    <t xml:space="preserve">Dog Vita Complete Premium   </t>
  </si>
  <si>
    <t>Cat Fleischsticks Kanninchen/Gefl. 10er</t>
  </si>
  <si>
    <t xml:space="preserve">Dog Gefluegel, Lamm, Reis   </t>
  </si>
  <si>
    <t>4 Kilogramm</t>
  </si>
  <si>
    <t xml:space="preserve">Dog Saftige Brocken Gefluegel/Reis   </t>
  </si>
  <si>
    <t>1240 Gramm</t>
  </si>
  <si>
    <t xml:space="preserve">Dog Saftige Brocken Kalb   </t>
  </si>
  <si>
    <t xml:space="preserve">Dog Saftige Brocken Rind   </t>
  </si>
  <si>
    <t xml:space="preserve">Dog Saftige Brocken Wild   </t>
  </si>
  <si>
    <t xml:space="preserve">Dog Trockenfutter Gemüse/Lamm/Reis/ Huhn   </t>
  </si>
  <si>
    <t xml:space="preserve">Dog Trockenfutter Rind/Geflügel/Getreide   </t>
  </si>
  <si>
    <t>Kaustreifen Rind/Leber 20er</t>
  </si>
  <si>
    <t>Lieblingssticks mit Rind 8x11 g</t>
  </si>
  <si>
    <t>88 Gramm</t>
  </si>
  <si>
    <t>Kleintier</t>
  </si>
  <si>
    <t xml:space="preserve">Nagetier Einstreu/Holzspäne   </t>
  </si>
  <si>
    <t>60 Liter</t>
  </si>
  <si>
    <t xml:space="preserve">Nagetier Wiesenheu   </t>
  </si>
  <si>
    <t>Wellensittichfutter - Sticks 2er</t>
  </si>
  <si>
    <t xml:space="preserve">Zwergkaninchenfutter   </t>
  </si>
  <si>
    <t>Aktuelle Themen</t>
  </si>
  <si>
    <t>Neue E-Mail Adresse für Beiladungen -&gt; cargo@tbsg.de</t>
  </si>
  <si>
    <t>Lieferengpässe</t>
  </si>
  <si>
    <t>Amazon Anlieferungen</t>
  </si>
  <si>
    <t>Selbstaufblasende Isomatte Easy 180 x 50 x 2,5 cm</t>
  </si>
  <si>
    <t>Luftballons blau, 25cm, 10er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</si>
</sst>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0" numFmtId="49" fillId="0" borderId="0" applyFont="0" applyNumberFormat="1" applyFill="0" applyBorder="0" applyAlignment="0"/>
    <xf xfId="0" fontId="0" numFmtId="10" fillId="0" borderId="0" applyFont="0" applyNumberFormat="1" applyFill="0" applyBorder="0" applyAlignment="0"/>
    <xf xfId="0" fontId="0" numFmtId="1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5023"/>
  <sheetViews>
    <sheetView tabSelected="1" workbookViewId="0" showGridLines="true" showRowColHeaders="1">
      <selection activeCell="D5023" sqref="D5023"/>
    </sheetView>
  </sheetViews>
  <sheetFormatPr defaultRowHeight="14.4" outlineLevelRow="0" outlineLevelCol="0"/>
  <cols>
    <col min="1" max="1" width="20" customWidth="true" style="0"/>
    <col min="2" max="2" width="20" customWidth="true" style="1"/>
    <col min="3" max="3" width="20" customWidth="true" style="0"/>
    <col min="4" max="4" width="143.822" bestFit="true" customWidth="true" style="0"/>
    <col min="5" max="5" width="20" customWidth="true" style="2"/>
    <col min="6" max="6" width="20" customWidth="true" style="0"/>
    <col min="7" max="7" width="20" customWidth="true" style="0"/>
    <col min="8" max="8" width="20" customWidth="true" style="0"/>
    <col min="9" max="9" width="15" customWidth="true" style="3"/>
  </cols>
  <sheetData>
    <row r="1" spans="1:9">
      <c r="A1" t="s">
        <v>0</v>
      </c>
      <c r="B1" s="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s="3" t="s">
        <v>8</v>
      </c>
    </row>
    <row r="2" spans="1:9">
      <c r="A2" t="s">
        <v>9</v>
      </c>
      <c r="B2" s="1" t="str">
        <f>"20182164"</f>
        <v>20182164</v>
      </c>
      <c r="C2" t="s">
        <v>10</v>
      </c>
      <c r="D2" t="s">
        <v>11</v>
      </c>
      <c r="E2" s="2"/>
      <c r="F2" t="s">
        <v>12</v>
      </c>
      <c r="G2" t="s">
        <v>13</v>
      </c>
      <c r="H2" t="s">
        <v>13</v>
      </c>
      <c r="I2"/>
    </row>
    <row r="3" spans="1:9">
      <c r="A3" t="s">
        <v>9</v>
      </c>
      <c r="B3" s="1" t="str">
        <f>"20182165"</f>
        <v>20182165</v>
      </c>
      <c r="C3" t="s">
        <v>10</v>
      </c>
      <c r="D3" t="s">
        <v>14</v>
      </c>
      <c r="E3" s="2"/>
      <c r="F3" t="s">
        <v>12</v>
      </c>
      <c r="G3" t="s">
        <v>13</v>
      </c>
      <c r="H3" t="s">
        <v>13</v>
      </c>
      <c r="I3"/>
    </row>
    <row r="4" spans="1:9">
      <c r="A4" t="s">
        <v>9</v>
      </c>
      <c r="B4" s="1" t="str">
        <f>"20200041"</f>
        <v>20200041</v>
      </c>
      <c r="C4" t="s">
        <v>15</v>
      </c>
      <c r="D4" t="s">
        <v>16</v>
      </c>
      <c r="E4" s="2"/>
      <c r="F4" t="s">
        <v>12</v>
      </c>
      <c r="G4"/>
      <c r="H4" t="s">
        <v>17</v>
      </c>
      <c r="I4"/>
    </row>
    <row r="5" spans="1:9">
      <c r="A5" t="s">
        <v>9</v>
      </c>
      <c r="B5" s="1" t="str">
        <f>"20200031"</f>
        <v>20200031</v>
      </c>
      <c r="C5"/>
      <c r="D5" t="s">
        <v>18</v>
      </c>
      <c r="E5" s="2"/>
      <c r="F5" t="s">
        <v>12</v>
      </c>
      <c r="G5" t="s">
        <v>19</v>
      </c>
      <c r="H5" t="s">
        <v>19</v>
      </c>
      <c r="I5"/>
    </row>
    <row r="6" spans="1:9">
      <c r="A6" t="s">
        <v>20</v>
      </c>
      <c r="B6" s="1" t="str">
        <f>"20182095"</f>
        <v>20182095</v>
      </c>
      <c r="C6" t="s">
        <v>10</v>
      </c>
      <c r="D6" t="s">
        <v>21</v>
      </c>
      <c r="E6" s="2"/>
      <c r="F6" t="s">
        <v>22</v>
      </c>
      <c r="G6" t="s">
        <v>19</v>
      </c>
      <c r="H6" t="s">
        <v>19</v>
      </c>
      <c r="I6"/>
    </row>
    <row r="7" spans="1:9">
      <c r="A7" t="s">
        <v>20</v>
      </c>
      <c r="B7" s="1" t="str">
        <f>"20182106"</f>
        <v>20182106</v>
      </c>
      <c r="C7" t="s">
        <v>10</v>
      </c>
      <c r="D7" t="s">
        <v>23</v>
      </c>
      <c r="E7" s="2"/>
      <c r="F7" t="s">
        <v>24</v>
      </c>
      <c r="G7" t="s">
        <v>25</v>
      </c>
      <c r="H7" t="s">
        <v>25</v>
      </c>
      <c r="I7"/>
    </row>
    <row r="8" spans="1:9">
      <c r="A8" t="s">
        <v>20</v>
      </c>
      <c r="B8" s="1" t="str">
        <f>"20182153"</f>
        <v>20182153</v>
      </c>
      <c r="C8" t="s">
        <v>10</v>
      </c>
      <c r="D8" t="s">
        <v>26</v>
      </c>
      <c r="E8" s="2"/>
      <c r="F8" t="s">
        <v>27</v>
      </c>
      <c r="G8" t="s">
        <v>25</v>
      </c>
      <c r="H8" t="s">
        <v>25</v>
      </c>
      <c r="I8"/>
    </row>
    <row r="9" spans="1:9">
      <c r="A9" t="s">
        <v>20</v>
      </c>
      <c r="B9" s="1" t="str">
        <f>"20182136"</f>
        <v>20182136</v>
      </c>
      <c r="C9" t="s">
        <v>10</v>
      </c>
      <c r="D9" t="s">
        <v>28</v>
      </c>
      <c r="E9" s="2"/>
      <c r="F9" t="s">
        <v>27</v>
      </c>
      <c r="G9" t="s">
        <v>29</v>
      </c>
      <c r="H9" t="s">
        <v>29</v>
      </c>
      <c r="I9"/>
    </row>
    <row r="10" spans="1:9">
      <c r="A10" t="s">
        <v>20</v>
      </c>
      <c r="B10" s="1" t="str">
        <f>"20182101"</f>
        <v>20182101</v>
      </c>
      <c r="C10" t="s">
        <v>10</v>
      </c>
      <c r="D10" t="s">
        <v>30</v>
      </c>
      <c r="E10" s="2"/>
      <c r="F10" t="s">
        <v>31</v>
      </c>
      <c r="G10" t="s">
        <v>19</v>
      </c>
      <c r="H10" t="s">
        <v>19</v>
      </c>
      <c r="I10"/>
    </row>
    <row r="11" spans="1:9">
      <c r="A11" t="s">
        <v>20</v>
      </c>
      <c r="B11" s="1" t="str">
        <f>"20182162"</f>
        <v>20182162</v>
      </c>
      <c r="C11" t="s">
        <v>10</v>
      </c>
      <c r="D11" t="s">
        <v>32</v>
      </c>
      <c r="E11" s="2"/>
      <c r="F11" t="s">
        <v>33</v>
      </c>
      <c r="G11" t="s">
        <v>19</v>
      </c>
      <c r="H11" t="s">
        <v>19</v>
      </c>
      <c r="I11"/>
    </row>
    <row r="12" spans="1:9">
      <c r="A12" t="s">
        <v>20</v>
      </c>
      <c r="B12" s="1" t="str">
        <f>"20182107"</f>
        <v>20182107</v>
      </c>
      <c r="C12" t="s">
        <v>10</v>
      </c>
      <c r="D12" t="s">
        <v>34</v>
      </c>
      <c r="E12" s="2"/>
      <c r="F12" t="s">
        <v>24</v>
      </c>
      <c r="G12" t="s">
        <v>25</v>
      </c>
      <c r="H12" t="s">
        <v>25</v>
      </c>
      <c r="I12"/>
    </row>
    <row r="13" spans="1:9">
      <c r="A13" t="s">
        <v>20</v>
      </c>
      <c r="B13" s="1" t="str">
        <f>"20182067"</f>
        <v>20182067</v>
      </c>
      <c r="C13" t="s">
        <v>10</v>
      </c>
      <c r="D13" t="s">
        <v>35</v>
      </c>
      <c r="E13" s="2"/>
      <c r="F13" t="s">
        <v>36</v>
      </c>
      <c r="G13" t="s">
        <v>37</v>
      </c>
      <c r="H13" t="s">
        <v>38</v>
      </c>
      <c r="I13"/>
    </row>
    <row r="14" spans="1:9">
      <c r="A14" t="s">
        <v>20</v>
      </c>
      <c r="B14" s="1" t="str">
        <f>"20182064"</f>
        <v>20182064</v>
      </c>
      <c r="C14" t="s">
        <v>10</v>
      </c>
      <c r="D14" t="s">
        <v>39</v>
      </c>
      <c r="E14" s="2"/>
      <c r="F14" t="s">
        <v>36</v>
      </c>
      <c r="G14" t="s">
        <v>37</v>
      </c>
      <c r="H14" t="s">
        <v>37</v>
      </c>
      <c r="I14"/>
    </row>
    <row r="15" spans="1:9">
      <c r="A15" t="s">
        <v>20</v>
      </c>
      <c r="B15" s="1" t="str">
        <f>"20182063"</f>
        <v>20182063</v>
      </c>
      <c r="C15" t="s">
        <v>10</v>
      </c>
      <c r="D15" t="s">
        <v>40</v>
      </c>
      <c r="E15" s="2"/>
      <c r="F15" t="s">
        <v>36</v>
      </c>
      <c r="G15" t="s">
        <v>38</v>
      </c>
      <c r="H15" t="s">
        <v>38</v>
      </c>
      <c r="I15"/>
    </row>
    <row r="16" spans="1:9">
      <c r="A16" t="s">
        <v>20</v>
      </c>
      <c r="B16" s="1" t="str">
        <f>"20182062"</f>
        <v>20182062</v>
      </c>
      <c r="C16" t="s">
        <v>10</v>
      </c>
      <c r="D16" t="s">
        <v>41</v>
      </c>
      <c r="E16" s="2"/>
      <c r="F16" t="s">
        <v>36</v>
      </c>
      <c r="G16" t="s">
        <v>38</v>
      </c>
      <c r="H16" t="s">
        <v>38</v>
      </c>
      <c r="I16"/>
    </row>
    <row r="17" spans="1:9">
      <c r="A17" t="s">
        <v>20</v>
      </c>
      <c r="B17" s="1" t="str">
        <f>"20182068"</f>
        <v>20182068</v>
      </c>
      <c r="C17" t="s">
        <v>10</v>
      </c>
      <c r="D17" t="s">
        <v>42</v>
      </c>
      <c r="E17" s="2"/>
      <c r="F17" t="s">
        <v>36</v>
      </c>
      <c r="G17" t="s">
        <v>37</v>
      </c>
      <c r="H17" t="s">
        <v>37</v>
      </c>
      <c r="I17"/>
    </row>
    <row r="18" spans="1:9">
      <c r="A18" t="s">
        <v>20</v>
      </c>
      <c r="B18" s="1" t="str">
        <f>"20182019"</f>
        <v>20182019</v>
      </c>
      <c r="C18" t="s">
        <v>10</v>
      </c>
      <c r="D18" t="s">
        <v>43</v>
      </c>
      <c r="E18" s="2"/>
      <c r="F18" t="s">
        <v>12</v>
      </c>
      <c r="G18" t="s">
        <v>44</v>
      </c>
      <c r="H18" t="s">
        <v>44</v>
      </c>
      <c r="I18"/>
    </row>
    <row r="19" spans="1:9">
      <c r="A19" t="s">
        <v>20</v>
      </c>
      <c r="B19" s="1" t="str">
        <f>"20180000"</f>
        <v>20180000</v>
      </c>
      <c r="C19" t="s">
        <v>10</v>
      </c>
      <c r="D19" t="s">
        <v>45</v>
      </c>
      <c r="E19" s="2"/>
      <c r="F19" t="s">
        <v>46</v>
      </c>
      <c r="G19" t="s">
        <v>37</v>
      </c>
      <c r="H19" t="s">
        <v>37</v>
      </c>
      <c r="I19"/>
    </row>
    <row r="20" spans="1:9">
      <c r="A20" t="s">
        <v>20</v>
      </c>
      <c r="B20" s="1" t="str">
        <f>"20182187"</f>
        <v>20182187</v>
      </c>
      <c r="C20" t="s">
        <v>10</v>
      </c>
      <c r="D20" t="s">
        <v>47</v>
      </c>
      <c r="E20" s="2"/>
      <c r="F20" t="s">
        <v>48</v>
      </c>
      <c r="G20" t="s">
        <v>19</v>
      </c>
      <c r="H20" t="s">
        <v>19</v>
      </c>
      <c r="I20"/>
    </row>
    <row r="21" spans="1:9">
      <c r="A21" t="s">
        <v>20</v>
      </c>
      <c r="B21" s="1" t="str">
        <f>"20182081"</f>
        <v>20182081</v>
      </c>
      <c r="C21" t="s">
        <v>10</v>
      </c>
      <c r="D21" t="s">
        <v>49</v>
      </c>
      <c r="E21" s="2"/>
      <c r="F21" t="s">
        <v>50</v>
      </c>
      <c r="G21" t="s">
        <v>19</v>
      </c>
      <c r="H21" t="s">
        <v>19</v>
      </c>
      <c r="I21"/>
    </row>
    <row r="22" spans="1:9">
      <c r="A22" t="s">
        <v>20</v>
      </c>
      <c r="B22" s="1" t="str">
        <f>"20182050"</f>
        <v>20182050</v>
      </c>
      <c r="C22" t="s">
        <v>10</v>
      </c>
      <c r="D22" t="s">
        <v>51</v>
      </c>
      <c r="E22" s="2"/>
      <c r="F22" t="s">
        <v>52</v>
      </c>
      <c r="G22" t="s">
        <v>19</v>
      </c>
      <c r="H22" t="s">
        <v>19</v>
      </c>
      <c r="I22"/>
    </row>
    <row r="23" spans="1:9">
      <c r="A23" t="s">
        <v>20</v>
      </c>
      <c r="B23" s="1" t="str">
        <f>"20182083"</f>
        <v>20182083</v>
      </c>
      <c r="C23" t="s">
        <v>10</v>
      </c>
      <c r="D23" t="s">
        <v>53</v>
      </c>
      <c r="E23" s="2"/>
      <c r="F23" t="s">
        <v>50</v>
      </c>
      <c r="G23" t="s">
        <v>54</v>
      </c>
      <c r="H23" t="s">
        <v>54</v>
      </c>
      <c r="I23"/>
    </row>
    <row r="24" spans="1:9">
      <c r="A24" t="s">
        <v>20</v>
      </c>
      <c r="B24" s="1" t="str">
        <f>"20182181"</f>
        <v>20182181</v>
      </c>
      <c r="C24" t="s">
        <v>10</v>
      </c>
      <c r="D24" t="s">
        <v>55</v>
      </c>
      <c r="E24" s="2"/>
      <c r="F24" t="s">
        <v>56</v>
      </c>
      <c r="G24" t="s">
        <v>19</v>
      </c>
      <c r="H24" t="s">
        <v>19</v>
      </c>
      <c r="I24"/>
    </row>
    <row r="25" spans="1:9">
      <c r="A25" t="s">
        <v>20</v>
      </c>
      <c r="B25" s="1" t="str">
        <f>"20182045"</f>
        <v>20182045</v>
      </c>
      <c r="C25" t="s">
        <v>10</v>
      </c>
      <c r="D25" t="s">
        <v>57</v>
      </c>
      <c r="E25" s="2"/>
      <c r="F25" t="s">
        <v>22</v>
      </c>
      <c r="G25" t="s">
        <v>58</v>
      </c>
      <c r="H25" t="s">
        <v>58</v>
      </c>
      <c r="I25"/>
    </row>
    <row r="26" spans="1:9">
      <c r="A26" t="s">
        <v>20</v>
      </c>
      <c r="B26" s="1" t="str">
        <f>"20182105"</f>
        <v>20182105</v>
      </c>
      <c r="C26" t="s">
        <v>10</v>
      </c>
      <c r="D26" t="s">
        <v>59</v>
      </c>
      <c r="E26" s="2"/>
      <c r="F26" t="s">
        <v>24</v>
      </c>
      <c r="G26" t="s">
        <v>25</v>
      </c>
      <c r="H26" t="s">
        <v>25</v>
      </c>
      <c r="I26"/>
    </row>
    <row r="27" spans="1:9">
      <c r="A27" t="s">
        <v>20</v>
      </c>
      <c r="B27" s="1" t="str">
        <f>"20182099"</f>
        <v>20182099</v>
      </c>
      <c r="C27" t="s">
        <v>10</v>
      </c>
      <c r="D27" t="s">
        <v>60</v>
      </c>
      <c r="E27" s="2"/>
      <c r="F27" t="s">
        <v>61</v>
      </c>
      <c r="G27" t="s">
        <v>19</v>
      </c>
      <c r="H27" t="s">
        <v>19</v>
      </c>
      <c r="I27"/>
    </row>
    <row r="28" spans="1:9">
      <c r="A28" t="s">
        <v>20</v>
      </c>
      <c r="B28" s="1" t="str">
        <f>"20182100"</f>
        <v>20182100</v>
      </c>
      <c r="C28" t="s">
        <v>10</v>
      </c>
      <c r="D28" t="s">
        <v>62</v>
      </c>
      <c r="E28" s="2"/>
      <c r="F28" t="s">
        <v>63</v>
      </c>
      <c r="G28" t="s">
        <v>19</v>
      </c>
      <c r="H28" t="s">
        <v>19</v>
      </c>
      <c r="I28"/>
    </row>
    <row r="29" spans="1:9">
      <c r="A29" t="s">
        <v>20</v>
      </c>
      <c r="B29" s="1" t="str">
        <f>"20182041"</f>
        <v>20182041</v>
      </c>
      <c r="C29" t="s">
        <v>10</v>
      </c>
      <c r="D29" t="s">
        <v>64</v>
      </c>
      <c r="E29" s="2"/>
      <c r="F29" t="s">
        <v>22</v>
      </c>
      <c r="G29" t="s">
        <v>58</v>
      </c>
      <c r="H29" t="s">
        <v>58</v>
      </c>
      <c r="I29"/>
    </row>
    <row r="30" spans="1:9">
      <c r="A30" t="s">
        <v>20</v>
      </c>
      <c r="B30" s="1" t="str">
        <f>"20182154"</f>
        <v>20182154</v>
      </c>
      <c r="C30" t="s">
        <v>10</v>
      </c>
      <c r="D30" t="s">
        <v>65</v>
      </c>
      <c r="E30" s="2"/>
      <c r="F30" t="s">
        <v>66</v>
      </c>
      <c r="G30" t="s">
        <v>25</v>
      </c>
      <c r="H30" t="s">
        <v>25</v>
      </c>
      <c r="I30"/>
    </row>
    <row r="31" spans="1:9">
      <c r="A31" t="s">
        <v>20</v>
      </c>
      <c r="B31" s="1" t="str">
        <f>"20182189"</f>
        <v>20182189</v>
      </c>
      <c r="C31" t="s">
        <v>10</v>
      </c>
      <c r="D31" t="s">
        <v>67</v>
      </c>
      <c r="E31" s="2"/>
      <c r="F31" t="s">
        <v>68</v>
      </c>
      <c r="G31" t="s">
        <v>19</v>
      </c>
      <c r="H31" t="s">
        <v>19</v>
      </c>
      <c r="I31"/>
    </row>
    <row r="32" spans="1:9">
      <c r="A32" t="s">
        <v>20</v>
      </c>
      <c r="B32" s="1" t="str">
        <f>"20182057"</f>
        <v>20182057</v>
      </c>
      <c r="C32" t="s">
        <v>10</v>
      </c>
      <c r="D32" t="s">
        <v>69</v>
      </c>
      <c r="E32" s="2"/>
      <c r="F32" t="s">
        <v>27</v>
      </c>
      <c r="G32" t="s">
        <v>37</v>
      </c>
      <c r="H32" t="s">
        <v>37</v>
      </c>
      <c r="I32"/>
    </row>
    <row r="33" spans="1:9">
      <c r="A33" t="s">
        <v>20</v>
      </c>
      <c r="B33" s="1" t="str">
        <f>"20182001"</f>
        <v>20182001</v>
      </c>
      <c r="C33" t="s">
        <v>10</v>
      </c>
      <c r="D33" t="s">
        <v>70</v>
      </c>
      <c r="E33" s="2"/>
      <c r="F33" t="s">
        <v>46</v>
      </c>
      <c r="G33" t="s">
        <v>37</v>
      </c>
      <c r="H33" t="s">
        <v>37</v>
      </c>
      <c r="I33"/>
    </row>
    <row r="34" spans="1:9">
      <c r="A34" t="s">
        <v>20</v>
      </c>
      <c r="B34" s="1" t="str">
        <f>"20182085"</f>
        <v>20182085</v>
      </c>
      <c r="C34" t="s">
        <v>10</v>
      </c>
      <c r="D34" t="s">
        <v>71</v>
      </c>
      <c r="E34" s="2"/>
      <c r="F34" t="s">
        <v>50</v>
      </c>
      <c r="G34" t="s">
        <v>19</v>
      </c>
      <c r="H34" t="s">
        <v>19</v>
      </c>
      <c r="I34"/>
    </row>
    <row r="35" spans="1:9">
      <c r="A35" t="s">
        <v>20</v>
      </c>
      <c r="B35" s="1" t="str">
        <f>"20182098"</f>
        <v>20182098</v>
      </c>
      <c r="C35" t="s">
        <v>10</v>
      </c>
      <c r="D35" t="s">
        <v>72</v>
      </c>
      <c r="E35" s="2"/>
      <c r="F35" t="s">
        <v>68</v>
      </c>
      <c r="G35" t="s">
        <v>19</v>
      </c>
      <c r="H35" t="s">
        <v>19</v>
      </c>
      <c r="I35"/>
    </row>
    <row r="36" spans="1:9">
      <c r="A36" t="s">
        <v>20</v>
      </c>
      <c r="B36" s="1" t="str">
        <f>"20182152"</f>
        <v>20182152</v>
      </c>
      <c r="C36" t="s">
        <v>10</v>
      </c>
      <c r="D36" t="s">
        <v>73</v>
      </c>
      <c r="E36" s="2"/>
      <c r="F36" t="s">
        <v>22</v>
      </c>
      <c r="G36" t="s">
        <v>19</v>
      </c>
      <c r="H36" t="s">
        <v>19</v>
      </c>
      <c r="I36"/>
    </row>
    <row r="37" spans="1:9">
      <c r="A37" t="s">
        <v>20</v>
      </c>
      <c r="B37" s="1" t="str">
        <f>"20182103"</f>
        <v>20182103</v>
      </c>
      <c r="C37" t="s">
        <v>10</v>
      </c>
      <c r="D37" t="s">
        <v>74</v>
      </c>
      <c r="E37" s="2"/>
      <c r="F37" t="s">
        <v>68</v>
      </c>
      <c r="G37" t="s">
        <v>75</v>
      </c>
      <c r="H37" t="s">
        <v>75</v>
      </c>
      <c r="I37"/>
    </row>
    <row r="38" spans="1:9">
      <c r="A38" t="s">
        <v>20</v>
      </c>
      <c r="B38" s="1" t="str">
        <f>"20182091"</f>
        <v>20182091</v>
      </c>
      <c r="C38" t="s">
        <v>10</v>
      </c>
      <c r="D38" t="s">
        <v>76</v>
      </c>
      <c r="E38" s="2"/>
      <c r="F38" t="s">
        <v>61</v>
      </c>
      <c r="G38" t="s">
        <v>19</v>
      </c>
      <c r="H38" t="s">
        <v>19</v>
      </c>
      <c r="I38"/>
    </row>
    <row r="39" spans="1:9">
      <c r="A39" t="s">
        <v>20</v>
      </c>
      <c r="B39" s="1" t="str">
        <f>"20182077"</f>
        <v>20182077</v>
      </c>
      <c r="C39" t="s">
        <v>10</v>
      </c>
      <c r="D39" t="s">
        <v>77</v>
      </c>
      <c r="E39" s="2"/>
      <c r="F39" t="s">
        <v>22</v>
      </c>
      <c r="G39" t="s">
        <v>13</v>
      </c>
      <c r="H39" t="s">
        <v>13</v>
      </c>
      <c r="I39"/>
    </row>
    <row r="40" spans="1:9">
      <c r="A40" t="s">
        <v>20</v>
      </c>
      <c r="B40" s="1" t="str">
        <f>"20182161"</f>
        <v>20182161</v>
      </c>
      <c r="C40" t="s">
        <v>10</v>
      </c>
      <c r="D40" t="s">
        <v>78</v>
      </c>
      <c r="E40" s="2"/>
      <c r="F40" t="s">
        <v>79</v>
      </c>
      <c r="G40" t="s">
        <v>80</v>
      </c>
      <c r="H40" t="s">
        <v>80</v>
      </c>
      <c r="I40"/>
    </row>
    <row r="41" spans="1:9">
      <c r="A41" t="s">
        <v>20</v>
      </c>
      <c r="B41" s="1" t="str">
        <f>"20182073"</f>
        <v>20182073</v>
      </c>
      <c r="C41" t="s">
        <v>10</v>
      </c>
      <c r="D41" t="s">
        <v>81</v>
      </c>
      <c r="E41" s="2"/>
      <c r="F41" t="s">
        <v>22</v>
      </c>
      <c r="G41" t="s">
        <v>82</v>
      </c>
      <c r="H41" t="s">
        <v>82</v>
      </c>
      <c r="I41"/>
    </row>
    <row r="42" spans="1:9">
      <c r="A42" t="s">
        <v>20</v>
      </c>
      <c r="B42" s="1" t="str">
        <f>"20182075"</f>
        <v>20182075</v>
      </c>
      <c r="C42" t="s">
        <v>10</v>
      </c>
      <c r="D42" t="s">
        <v>83</v>
      </c>
      <c r="E42" s="2"/>
      <c r="F42" t="s">
        <v>22</v>
      </c>
      <c r="G42" t="s">
        <v>13</v>
      </c>
      <c r="H42" t="s">
        <v>13</v>
      </c>
      <c r="I42"/>
    </row>
    <row r="43" spans="1:9">
      <c r="A43" t="s">
        <v>20</v>
      </c>
      <c r="B43" s="1" t="str">
        <f>"20190022"</f>
        <v>20190022</v>
      </c>
      <c r="C43" t="s">
        <v>10</v>
      </c>
      <c r="D43" t="s">
        <v>84</v>
      </c>
      <c r="E43" s="2"/>
      <c r="F43" t="s">
        <v>68</v>
      </c>
      <c r="G43" t="s">
        <v>80</v>
      </c>
      <c r="H43" t="s">
        <v>80</v>
      </c>
      <c r="I43"/>
    </row>
    <row r="44" spans="1:9">
      <c r="A44" t="s">
        <v>20</v>
      </c>
      <c r="B44" s="1" t="str">
        <f>"20182025"</f>
        <v>20182025</v>
      </c>
      <c r="C44" t="s">
        <v>10</v>
      </c>
      <c r="D44" t="s">
        <v>85</v>
      </c>
      <c r="E44" s="2"/>
      <c r="F44" t="s">
        <v>52</v>
      </c>
      <c r="G44" t="s">
        <v>19</v>
      </c>
      <c r="H44" t="s">
        <v>82</v>
      </c>
      <c r="I44"/>
    </row>
    <row r="45" spans="1:9">
      <c r="A45" t="s">
        <v>20</v>
      </c>
      <c r="B45" s="1" t="str">
        <f>"20182072"</f>
        <v>20182072</v>
      </c>
      <c r="C45" t="s">
        <v>10</v>
      </c>
      <c r="D45" t="s">
        <v>86</v>
      </c>
      <c r="E45" s="2"/>
      <c r="F45" t="s">
        <v>22</v>
      </c>
      <c r="G45" t="s">
        <v>82</v>
      </c>
      <c r="H45" t="s">
        <v>82</v>
      </c>
      <c r="I45"/>
    </row>
    <row r="46" spans="1:9">
      <c r="A46" t="s">
        <v>20</v>
      </c>
      <c r="B46" s="1" t="str">
        <f>"20182024"</f>
        <v>20182024</v>
      </c>
      <c r="C46" t="s">
        <v>10</v>
      </c>
      <c r="D46" t="s">
        <v>87</v>
      </c>
      <c r="E46" s="2"/>
      <c r="F46" t="s">
        <v>52</v>
      </c>
      <c r="G46" t="s">
        <v>19</v>
      </c>
      <c r="H46" t="s">
        <v>19</v>
      </c>
      <c r="I46"/>
    </row>
    <row r="47" spans="1:9">
      <c r="A47" t="s">
        <v>20</v>
      </c>
      <c r="B47" s="1" t="str">
        <f>"20182172"</f>
        <v>20182172</v>
      </c>
      <c r="C47" t="s">
        <v>10</v>
      </c>
      <c r="D47" t="s">
        <v>88</v>
      </c>
      <c r="E47" s="2"/>
      <c r="F47" t="s">
        <v>79</v>
      </c>
      <c r="G47" t="s">
        <v>80</v>
      </c>
      <c r="H47" t="s">
        <v>80</v>
      </c>
      <c r="I47"/>
    </row>
    <row r="48" spans="1:9">
      <c r="A48" t="s">
        <v>20</v>
      </c>
      <c r="B48" s="1" t="str">
        <f>"20182131"</f>
        <v>20182131</v>
      </c>
      <c r="C48" t="s">
        <v>10</v>
      </c>
      <c r="D48" t="s">
        <v>89</v>
      </c>
      <c r="E48" s="2"/>
      <c r="F48" t="s">
        <v>90</v>
      </c>
      <c r="G48" t="s">
        <v>37</v>
      </c>
      <c r="H48" t="s">
        <v>37</v>
      </c>
      <c r="I48"/>
    </row>
    <row r="49" spans="1:9">
      <c r="A49" t="s">
        <v>20</v>
      </c>
      <c r="B49" s="1" t="str">
        <f>"20182129"</f>
        <v>20182129</v>
      </c>
      <c r="C49" t="s">
        <v>10</v>
      </c>
      <c r="D49" t="s">
        <v>91</v>
      </c>
      <c r="E49" s="2"/>
      <c r="F49" t="s">
        <v>90</v>
      </c>
      <c r="G49" t="s">
        <v>37</v>
      </c>
      <c r="H49" t="s">
        <v>37</v>
      </c>
      <c r="I49"/>
    </row>
    <row r="50" spans="1:9">
      <c r="A50" t="s">
        <v>20</v>
      </c>
      <c r="B50" s="1" t="str">
        <f>"20182046"</f>
        <v>20182046</v>
      </c>
      <c r="C50" t="s">
        <v>10</v>
      </c>
      <c r="D50" t="s">
        <v>92</v>
      </c>
      <c r="E50" s="2"/>
      <c r="F50" t="s">
        <v>93</v>
      </c>
      <c r="G50" t="s">
        <v>19</v>
      </c>
      <c r="H50" t="s">
        <v>19</v>
      </c>
      <c r="I50"/>
    </row>
    <row r="51" spans="1:9">
      <c r="A51" t="s">
        <v>20</v>
      </c>
      <c r="B51" s="1" t="str">
        <f>"20182119"</f>
        <v>20182119</v>
      </c>
      <c r="C51" t="s">
        <v>10</v>
      </c>
      <c r="D51" t="s">
        <v>94</v>
      </c>
      <c r="E51" s="2"/>
      <c r="F51" t="s">
        <v>95</v>
      </c>
      <c r="G51" t="s">
        <v>37</v>
      </c>
      <c r="H51" t="s">
        <v>37</v>
      </c>
      <c r="I51"/>
    </row>
    <row r="52" spans="1:9">
      <c r="A52" t="s">
        <v>20</v>
      </c>
      <c r="B52" s="1" t="str">
        <f>"20182121"</f>
        <v>20182121</v>
      </c>
      <c r="C52" t="s">
        <v>10</v>
      </c>
      <c r="D52" t="s">
        <v>96</v>
      </c>
      <c r="E52" s="2"/>
      <c r="F52" t="s">
        <v>95</v>
      </c>
      <c r="G52" t="s">
        <v>37</v>
      </c>
      <c r="H52" t="s">
        <v>37</v>
      </c>
      <c r="I52"/>
    </row>
    <row r="53" spans="1:9">
      <c r="A53" t="s">
        <v>20</v>
      </c>
      <c r="B53" s="1" t="str">
        <f>"20182120"</f>
        <v>20182120</v>
      </c>
      <c r="C53" t="s">
        <v>10</v>
      </c>
      <c r="D53" t="s">
        <v>97</v>
      </c>
      <c r="E53" s="2"/>
      <c r="F53" t="s">
        <v>95</v>
      </c>
      <c r="G53" t="s">
        <v>37</v>
      </c>
      <c r="H53" t="s">
        <v>37</v>
      </c>
      <c r="I53"/>
    </row>
    <row r="54" spans="1:9">
      <c r="A54" t="s">
        <v>20</v>
      </c>
      <c r="B54" s="1" t="str">
        <f>"20182122"</f>
        <v>20182122</v>
      </c>
      <c r="C54" t="s">
        <v>10</v>
      </c>
      <c r="D54" t="s">
        <v>98</v>
      </c>
      <c r="E54" s="2"/>
      <c r="F54" t="s">
        <v>95</v>
      </c>
      <c r="G54" t="s">
        <v>37</v>
      </c>
      <c r="H54" t="s">
        <v>37</v>
      </c>
      <c r="I54"/>
    </row>
    <row r="55" spans="1:9">
      <c r="A55" t="s">
        <v>20</v>
      </c>
      <c r="B55" s="1" t="str">
        <f>"20182084"</f>
        <v>20182084</v>
      </c>
      <c r="C55" t="s">
        <v>10</v>
      </c>
      <c r="D55" t="s">
        <v>99</v>
      </c>
      <c r="E55" s="2"/>
      <c r="F55" t="s">
        <v>50</v>
      </c>
      <c r="G55" t="s">
        <v>75</v>
      </c>
      <c r="H55" t="s">
        <v>75</v>
      </c>
      <c r="I55"/>
    </row>
    <row r="56" spans="1:9">
      <c r="A56" t="s">
        <v>20</v>
      </c>
      <c r="B56" s="1" t="str">
        <f>"20182088"</f>
        <v>20182088</v>
      </c>
      <c r="C56" t="s">
        <v>10</v>
      </c>
      <c r="D56" t="s">
        <v>100</v>
      </c>
      <c r="E56" s="2"/>
      <c r="F56" t="s">
        <v>22</v>
      </c>
      <c r="G56" t="s">
        <v>19</v>
      </c>
      <c r="H56" t="s">
        <v>19</v>
      </c>
      <c r="I56"/>
    </row>
    <row r="57" spans="1:9">
      <c r="A57" t="s">
        <v>20</v>
      </c>
      <c r="B57" s="1" t="str">
        <f>"20182089"</f>
        <v>20182089</v>
      </c>
      <c r="C57" t="s">
        <v>10</v>
      </c>
      <c r="D57" t="s">
        <v>101</v>
      </c>
      <c r="E57" s="2"/>
      <c r="F57" t="s">
        <v>22</v>
      </c>
      <c r="G57" t="s">
        <v>19</v>
      </c>
      <c r="H57" t="s">
        <v>19</v>
      </c>
      <c r="I57"/>
    </row>
    <row r="58" spans="1:9">
      <c r="A58" t="s">
        <v>20</v>
      </c>
      <c r="B58" s="1" t="str">
        <f>"20182110"</f>
        <v>20182110</v>
      </c>
      <c r="C58" t="s">
        <v>10</v>
      </c>
      <c r="D58" t="s">
        <v>102</v>
      </c>
      <c r="E58" s="2"/>
      <c r="F58" t="s">
        <v>103</v>
      </c>
      <c r="G58" t="s">
        <v>58</v>
      </c>
      <c r="H58" t="s">
        <v>58</v>
      </c>
      <c r="I58"/>
    </row>
    <row r="59" spans="1:9">
      <c r="A59" t="s">
        <v>20</v>
      </c>
      <c r="B59" s="1" t="str">
        <f>"20182116"</f>
        <v>20182116</v>
      </c>
      <c r="C59" t="s">
        <v>10</v>
      </c>
      <c r="D59" t="s">
        <v>104</v>
      </c>
      <c r="E59" s="2"/>
      <c r="F59" t="s">
        <v>105</v>
      </c>
      <c r="G59" t="s">
        <v>19</v>
      </c>
      <c r="H59" t="s">
        <v>19</v>
      </c>
      <c r="I59"/>
    </row>
    <row r="60" spans="1:9">
      <c r="A60" t="s">
        <v>20</v>
      </c>
      <c r="B60" s="1" t="str">
        <f>"20182005"</f>
        <v>20182005</v>
      </c>
      <c r="C60" t="s">
        <v>10</v>
      </c>
      <c r="D60" t="s">
        <v>106</v>
      </c>
      <c r="E60" s="2"/>
      <c r="F60" t="s">
        <v>107</v>
      </c>
      <c r="G60" t="s">
        <v>19</v>
      </c>
      <c r="H60" t="s">
        <v>19</v>
      </c>
      <c r="I60"/>
    </row>
    <row r="61" spans="1:9">
      <c r="A61" t="s">
        <v>20</v>
      </c>
      <c r="B61" s="1" t="str">
        <f>"20182182"</f>
        <v>20182182</v>
      </c>
      <c r="C61" t="s">
        <v>10</v>
      </c>
      <c r="D61" t="s">
        <v>108</v>
      </c>
      <c r="E61" s="2"/>
      <c r="F61" t="s">
        <v>107</v>
      </c>
      <c r="G61" t="s">
        <v>13</v>
      </c>
      <c r="H61" t="s">
        <v>13</v>
      </c>
      <c r="I61"/>
    </row>
    <row r="62" spans="1:9">
      <c r="A62" t="s">
        <v>20</v>
      </c>
      <c r="B62" s="1" t="str">
        <f>"20182086"</f>
        <v>20182086</v>
      </c>
      <c r="C62" t="s">
        <v>10</v>
      </c>
      <c r="D62" t="s">
        <v>109</v>
      </c>
      <c r="E62" s="2"/>
      <c r="F62" t="s">
        <v>50</v>
      </c>
      <c r="G62" t="s">
        <v>19</v>
      </c>
      <c r="H62" t="s">
        <v>19</v>
      </c>
      <c r="I62"/>
    </row>
    <row r="63" spans="1:9">
      <c r="A63" t="s">
        <v>20</v>
      </c>
      <c r="B63" s="1" t="str">
        <f>"20182087"</f>
        <v>20182087</v>
      </c>
      <c r="C63" t="s">
        <v>10</v>
      </c>
      <c r="D63" t="s">
        <v>110</v>
      </c>
      <c r="E63" s="2"/>
      <c r="F63" t="s">
        <v>50</v>
      </c>
      <c r="G63" t="s">
        <v>19</v>
      </c>
      <c r="H63" t="s">
        <v>19</v>
      </c>
      <c r="I63"/>
    </row>
    <row r="64" spans="1:9">
      <c r="A64" t="s">
        <v>20</v>
      </c>
      <c r="B64" s="1" t="str">
        <f>"20182092"</f>
        <v>20182092</v>
      </c>
      <c r="C64" t="s">
        <v>10</v>
      </c>
      <c r="D64" t="s">
        <v>111</v>
      </c>
      <c r="E64" s="2"/>
      <c r="F64" t="s">
        <v>61</v>
      </c>
      <c r="G64" t="s">
        <v>19</v>
      </c>
      <c r="H64" t="s">
        <v>19</v>
      </c>
      <c r="I64"/>
    </row>
    <row r="65" spans="1:9">
      <c r="A65" t="s">
        <v>20</v>
      </c>
      <c r="B65" s="1" t="str">
        <f>"20182164"</f>
        <v>20182164</v>
      </c>
      <c r="C65" t="s">
        <v>10</v>
      </c>
      <c r="D65" t="s">
        <v>11</v>
      </c>
      <c r="E65" s="2"/>
      <c r="F65" t="s">
        <v>12</v>
      </c>
      <c r="G65" t="s">
        <v>13</v>
      </c>
      <c r="H65" t="s">
        <v>13</v>
      </c>
      <c r="I65"/>
    </row>
    <row r="66" spans="1:9">
      <c r="A66" t="s">
        <v>20</v>
      </c>
      <c r="B66" s="1" t="str">
        <f>"20182096"</f>
        <v>20182096</v>
      </c>
      <c r="C66" t="s">
        <v>10</v>
      </c>
      <c r="D66" t="s">
        <v>112</v>
      </c>
      <c r="E66" s="2"/>
      <c r="F66" t="s">
        <v>22</v>
      </c>
      <c r="G66" t="s">
        <v>19</v>
      </c>
      <c r="H66" t="s">
        <v>19</v>
      </c>
      <c r="I66"/>
    </row>
    <row r="67" spans="1:9">
      <c r="A67" t="s">
        <v>20</v>
      </c>
      <c r="B67" s="1" t="str">
        <f>"20182193"</f>
        <v>20182193</v>
      </c>
      <c r="C67" t="s">
        <v>10</v>
      </c>
      <c r="D67" t="s">
        <v>113</v>
      </c>
      <c r="E67" s="2"/>
      <c r="F67" t="s">
        <v>22</v>
      </c>
      <c r="G67" t="s">
        <v>19</v>
      </c>
      <c r="H67" t="s">
        <v>19</v>
      </c>
      <c r="I67"/>
    </row>
    <row r="68" spans="1:9">
      <c r="A68" t="s">
        <v>20</v>
      </c>
      <c r="B68" s="1" t="str">
        <f>"20182094"</f>
        <v>20182094</v>
      </c>
      <c r="C68" t="s">
        <v>10</v>
      </c>
      <c r="D68" t="s">
        <v>114</v>
      </c>
      <c r="E68" s="2"/>
      <c r="F68" t="s">
        <v>22</v>
      </c>
      <c r="G68" t="s">
        <v>19</v>
      </c>
      <c r="H68" t="s">
        <v>19</v>
      </c>
      <c r="I68"/>
    </row>
    <row r="69" spans="1:9">
      <c r="A69" t="s">
        <v>20</v>
      </c>
      <c r="B69" s="1" t="str">
        <f>"20182159"</f>
        <v>20182159</v>
      </c>
      <c r="C69" t="s">
        <v>10</v>
      </c>
      <c r="D69" t="s">
        <v>115</v>
      </c>
      <c r="E69" s="2"/>
      <c r="F69" t="s">
        <v>116</v>
      </c>
      <c r="G69" t="s">
        <v>37</v>
      </c>
      <c r="H69" t="s">
        <v>37</v>
      </c>
      <c r="I69"/>
    </row>
    <row r="70" spans="1:9">
      <c r="A70" t="s">
        <v>20</v>
      </c>
      <c r="B70" s="1" t="str">
        <f>"20182158"</f>
        <v>20182158</v>
      </c>
      <c r="C70" t="s">
        <v>10</v>
      </c>
      <c r="D70" t="s">
        <v>117</v>
      </c>
      <c r="E70" s="2"/>
      <c r="F70" t="s">
        <v>116</v>
      </c>
      <c r="G70" t="s">
        <v>37</v>
      </c>
      <c r="H70" t="s">
        <v>37</v>
      </c>
      <c r="I70"/>
    </row>
    <row r="71" spans="1:9">
      <c r="A71" t="s">
        <v>20</v>
      </c>
      <c r="B71" s="1" t="str">
        <f>"20182205"</f>
        <v>20182205</v>
      </c>
      <c r="C71" t="s">
        <v>10</v>
      </c>
      <c r="D71" t="s">
        <v>118</v>
      </c>
      <c r="E71" s="2"/>
      <c r="F71" t="s">
        <v>107</v>
      </c>
      <c r="G71" t="s">
        <v>13</v>
      </c>
      <c r="H71" t="s">
        <v>13</v>
      </c>
      <c r="I71"/>
    </row>
    <row r="72" spans="1:9">
      <c r="A72" t="s">
        <v>20</v>
      </c>
      <c r="B72" s="1" t="str">
        <f>"20182069"</f>
        <v>20182069</v>
      </c>
      <c r="C72" t="s">
        <v>10</v>
      </c>
      <c r="D72" t="s">
        <v>119</v>
      </c>
      <c r="E72" s="2"/>
      <c r="F72" t="s">
        <v>46</v>
      </c>
      <c r="G72" t="s">
        <v>37</v>
      </c>
      <c r="H72" t="s">
        <v>120</v>
      </c>
      <c r="I72"/>
    </row>
    <row r="73" spans="1:9">
      <c r="A73" t="s">
        <v>20</v>
      </c>
      <c r="B73" s="1" t="str">
        <f>"20182117"</f>
        <v>20182117</v>
      </c>
      <c r="C73" t="s">
        <v>10</v>
      </c>
      <c r="D73" t="s">
        <v>121</v>
      </c>
      <c r="E73" s="2"/>
      <c r="F73" t="s">
        <v>105</v>
      </c>
      <c r="G73" t="s">
        <v>122</v>
      </c>
      <c r="H73" t="s">
        <v>122</v>
      </c>
      <c r="I73"/>
    </row>
    <row r="74" spans="1:9">
      <c r="A74" t="s">
        <v>20</v>
      </c>
      <c r="B74" s="1" t="str">
        <f>"20182070"</f>
        <v>20182070</v>
      </c>
      <c r="C74" t="s">
        <v>10</v>
      </c>
      <c r="D74" t="s">
        <v>123</v>
      </c>
      <c r="E74" s="2"/>
      <c r="F74" t="s">
        <v>124</v>
      </c>
      <c r="G74" t="s">
        <v>37</v>
      </c>
      <c r="H74" t="s">
        <v>37</v>
      </c>
      <c r="I74"/>
    </row>
    <row r="75" spans="1:9">
      <c r="A75" t="s">
        <v>20</v>
      </c>
      <c r="B75" s="1" t="str">
        <f>"20182093"</f>
        <v>20182093</v>
      </c>
      <c r="C75" t="s">
        <v>10</v>
      </c>
      <c r="D75" t="s">
        <v>125</v>
      </c>
      <c r="E75" s="2"/>
      <c r="F75" t="s">
        <v>22</v>
      </c>
      <c r="G75" t="s">
        <v>19</v>
      </c>
      <c r="H75" t="s">
        <v>19</v>
      </c>
      <c r="I75"/>
    </row>
    <row r="76" spans="1:9">
      <c r="A76" t="s">
        <v>20</v>
      </c>
      <c r="B76" s="1" t="str">
        <f>"20018498"</f>
        <v>20018498</v>
      </c>
      <c r="C76" t="s">
        <v>10</v>
      </c>
      <c r="D76" t="s">
        <v>126</v>
      </c>
      <c r="E76" s="2"/>
      <c r="F76" t="s">
        <v>79</v>
      </c>
      <c r="G76" t="s">
        <v>54</v>
      </c>
      <c r="H76" t="s">
        <v>54</v>
      </c>
      <c r="I76"/>
    </row>
    <row r="77" spans="1:9">
      <c r="A77" t="s">
        <v>20</v>
      </c>
      <c r="B77" s="1" t="str">
        <f>"20182169"</f>
        <v>20182169</v>
      </c>
      <c r="C77" t="s">
        <v>10</v>
      </c>
      <c r="D77" t="s">
        <v>127</v>
      </c>
      <c r="E77" s="2"/>
      <c r="F77" t="s">
        <v>79</v>
      </c>
      <c r="G77" t="s">
        <v>19</v>
      </c>
      <c r="H77" t="s">
        <v>19</v>
      </c>
      <c r="I77"/>
    </row>
    <row r="78" spans="1:9">
      <c r="A78" t="s">
        <v>20</v>
      </c>
      <c r="B78" s="1" t="str">
        <f>"20182061"</f>
        <v>20182061</v>
      </c>
      <c r="C78" t="s">
        <v>10</v>
      </c>
      <c r="D78" t="s">
        <v>128</v>
      </c>
      <c r="E78" s="2"/>
      <c r="F78" t="s">
        <v>129</v>
      </c>
      <c r="G78" t="s">
        <v>122</v>
      </c>
      <c r="H78" t="s">
        <v>122</v>
      </c>
      <c r="I78"/>
    </row>
    <row r="79" spans="1:9">
      <c r="A79" t="s">
        <v>20</v>
      </c>
      <c r="B79" s="1" t="str">
        <f>"20182179"</f>
        <v>20182179</v>
      </c>
      <c r="C79" t="s">
        <v>10</v>
      </c>
      <c r="D79" t="s">
        <v>130</v>
      </c>
      <c r="E79" s="2"/>
      <c r="F79" t="s">
        <v>131</v>
      </c>
      <c r="G79" t="s">
        <v>37</v>
      </c>
      <c r="H79" t="s">
        <v>37</v>
      </c>
      <c r="I79"/>
    </row>
    <row r="80" spans="1:9">
      <c r="A80" t="s">
        <v>20</v>
      </c>
      <c r="B80" s="1" t="str">
        <f>"20182206"</f>
        <v>20182206</v>
      </c>
      <c r="C80" t="s">
        <v>10</v>
      </c>
      <c r="D80" t="s">
        <v>132</v>
      </c>
      <c r="E80" s="2"/>
      <c r="F80" t="s">
        <v>107</v>
      </c>
      <c r="G80" t="s">
        <v>13</v>
      </c>
      <c r="H80" t="s">
        <v>13</v>
      </c>
      <c r="I80"/>
    </row>
    <row r="81" spans="1:9">
      <c r="A81" t="s">
        <v>20</v>
      </c>
      <c r="B81" s="1" t="str">
        <f>"20182035"</f>
        <v>20182035</v>
      </c>
      <c r="C81" t="s">
        <v>10</v>
      </c>
      <c r="D81" t="s">
        <v>133</v>
      </c>
      <c r="E81" s="2"/>
      <c r="F81" t="s">
        <v>27</v>
      </c>
      <c r="G81" t="s">
        <v>25</v>
      </c>
      <c r="H81" t="s">
        <v>25</v>
      </c>
      <c r="I81"/>
    </row>
    <row r="82" spans="1:9">
      <c r="A82" t="s">
        <v>20</v>
      </c>
      <c r="B82" s="1" t="str">
        <f>"20182195"</f>
        <v>20182195</v>
      </c>
      <c r="C82" t="s">
        <v>10</v>
      </c>
      <c r="D82" t="s">
        <v>134</v>
      </c>
      <c r="E82" s="2"/>
      <c r="F82" t="s">
        <v>22</v>
      </c>
      <c r="G82" t="s">
        <v>58</v>
      </c>
      <c r="H82" t="s">
        <v>58</v>
      </c>
      <c r="I82"/>
    </row>
    <row r="83" spans="1:9">
      <c r="A83" t="s">
        <v>20</v>
      </c>
      <c r="B83" s="1" t="str">
        <f>"20182115"</f>
        <v>20182115</v>
      </c>
      <c r="C83" t="s">
        <v>10</v>
      </c>
      <c r="D83" t="s">
        <v>135</v>
      </c>
      <c r="E83" s="2"/>
      <c r="F83" t="s">
        <v>105</v>
      </c>
      <c r="G83" t="s">
        <v>122</v>
      </c>
      <c r="H83" t="s">
        <v>122</v>
      </c>
      <c r="I83"/>
    </row>
    <row r="84" spans="1:9">
      <c r="A84" t="s">
        <v>20</v>
      </c>
      <c r="B84" s="1" t="str">
        <f>"20182071"</f>
        <v>20182071</v>
      </c>
      <c r="C84" t="s">
        <v>10</v>
      </c>
      <c r="D84" t="s">
        <v>136</v>
      </c>
      <c r="E84" s="2"/>
      <c r="F84" t="s">
        <v>137</v>
      </c>
      <c r="G84" t="s">
        <v>120</v>
      </c>
      <c r="H84" t="s">
        <v>120</v>
      </c>
      <c r="I84"/>
    </row>
    <row r="85" spans="1:9">
      <c r="A85" t="s">
        <v>20</v>
      </c>
      <c r="B85" s="1" t="str">
        <f>"20182224"</f>
        <v>20182224</v>
      </c>
      <c r="C85" t="s">
        <v>10</v>
      </c>
      <c r="D85" t="s">
        <v>138</v>
      </c>
      <c r="E85" s="2"/>
      <c r="F85" t="s">
        <v>22</v>
      </c>
      <c r="G85" t="s">
        <v>19</v>
      </c>
      <c r="H85" t="s">
        <v>19</v>
      </c>
      <c r="I85"/>
    </row>
    <row r="86" spans="1:9">
      <c r="A86" t="s">
        <v>20</v>
      </c>
      <c r="B86" s="1" t="str">
        <f>"20182171"</f>
        <v>20182171</v>
      </c>
      <c r="C86" t="s">
        <v>10</v>
      </c>
      <c r="D86" t="s">
        <v>139</v>
      </c>
      <c r="E86" s="2"/>
      <c r="F86" t="s">
        <v>140</v>
      </c>
      <c r="G86" t="s">
        <v>80</v>
      </c>
      <c r="H86" t="s">
        <v>80</v>
      </c>
      <c r="I86"/>
    </row>
    <row r="87" spans="1:9">
      <c r="A87" t="s">
        <v>20</v>
      </c>
      <c r="B87" s="1" t="str">
        <f>"20182170"</f>
        <v>20182170</v>
      </c>
      <c r="C87" t="s">
        <v>10</v>
      </c>
      <c r="D87" t="s">
        <v>141</v>
      </c>
      <c r="E87" s="2"/>
      <c r="F87" t="s">
        <v>140</v>
      </c>
      <c r="G87" t="s">
        <v>80</v>
      </c>
      <c r="H87" t="s">
        <v>80</v>
      </c>
      <c r="I87"/>
    </row>
    <row r="88" spans="1:9">
      <c r="A88" t="s">
        <v>20</v>
      </c>
      <c r="B88" s="1" t="str">
        <f>"20182128"</f>
        <v>20182128</v>
      </c>
      <c r="C88" t="s">
        <v>10</v>
      </c>
      <c r="D88" t="s">
        <v>142</v>
      </c>
      <c r="E88" s="2"/>
      <c r="F88" t="s">
        <v>90</v>
      </c>
      <c r="G88" t="s">
        <v>37</v>
      </c>
      <c r="H88" t="s">
        <v>37</v>
      </c>
      <c r="I88"/>
    </row>
    <row r="89" spans="1:9">
      <c r="A89" t="s">
        <v>20</v>
      </c>
      <c r="B89" s="1" t="str">
        <f>"20182188"</f>
        <v>20182188</v>
      </c>
      <c r="C89" t="s">
        <v>10</v>
      </c>
      <c r="D89" t="s">
        <v>143</v>
      </c>
      <c r="E89" s="2"/>
      <c r="F89" t="s">
        <v>79</v>
      </c>
      <c r="G89" t="s">
        <v>19</v>
      </c>
      <c r="H89" t="s">
        <v>19</v>
      </c>
      <c r="I89"/>
    </row>
    <row r="90" spans="1:9">
      <c r="A90" t="s">
        <v>20</v>
      </c>
      <c r="B90" s="1" t="str">
        <f>"20182055"</f>
        <v>20182055</v>
      </c>
      <c r="C90" t="s">
        <v>10</v>
      </c>
      <c r="D90" t="s">
        <v>144</v>
      </c>
      <c r="E90" s="2"/>
      <c r="F90" t="s">
        <v>22</v>
      </c>
      <c r="G90" t="s">
        <v>13</v>
      </c>
      <c r="H90" t="s">
        <v>13</v>
      </c>
      <c r="I90"/>
    </row>
    <row r="91" spans="1:9">
      <c r="A91" t="s">
        <v>20</v>
      </c>
      <c r="B91" s="1" t="str">
        <f>"20182022"</f>
        <v>20182022</v>
      </c>
      <c r="C91" t="s">
        <v>10</v>
      </c>
      <c r="D91" t="s">
        <v>145</v>
      </c>
      <c r="E91" s="2"/>
      <c r="F91" t="s">
        <v>12</v>
      </c>
      <c r="G91" t="s">
        <v>146</v>
      </c>
      <c r="H91" t="s">
        <v>146</v>
      </c>
      <c r="I91"/>
    </row>
    <row r="92" spans="1:9">
      <c r="A92" t="s">
        <v>20</v>
      </c>
      <c r="B92" s="1" t="str">
        <f>"20182196"</f>
        <v>20182196</v>
      </c>
      <c r="C92" t="s">
        <v>10</v>
      </c>
      <c r="D92" t="s">
        <v>147</v>
      </c>
      <c r="E92" s="2"/>
      <c r="F92" t="s">
        <v>48</v>
      </c>
      <c r="G92" t="s">
        <v>148</v>
      </c>
      <c r="H92" t="s">
        <v>148</v>
      </c>
      <c r="I92"/>
    </row>
    <row r="93" spans="1:9">
      <c r="A93" t="s">
        <v>20</v>
      </c>
      <c r="B93" s="1" t="str">
        <f>"20182198"</f>
        <v>20182198</v>
      </c>
      <c r="C93" t="s">
        <v>10</v>
      </c>
      <c r="D93" t="s">
        <v>149</v>
      </c>
      <c r="E93" s="2"/>
      <c r="F93" t="s">
        <v>48</v>
      </c>
      <c r="G93" t="s">
        <v>148</v>
      </c>
      <c r="H93" t="s">
        <v>148</v>
      </c>
      <c r="I93"/>
    </row>
    <row r="94" spans="1:9">
      <c r="A94" t="s">
        <v>20</v>
      </c>
      <c r="B94" s="1" t="str">
        <f>"20182053"</f>
        <v>20182053</v>
      </c>
      <c r="C94" t="s">
        <v>10</v>
      </c>
      <c r="D94" t="s">
        <v>150</v>
      </c>
      <c r="E94" s="2"/>
      <c r="F94" t="s">
        <v>52</v>
      </c>
      <c r="G94" t="s">
        <v>19</v>
      </c>
      <c r="H94" t="s">
        <v>19</v>
      </c>
      <c r="I94"/>
    </row>
    <row r="95" spans="1:9">
      <c r="A95" t="s">
        <v>20</v>
      </c>
      <c r="B95" s="1" t="str">
        <f>"20182199"</f>
        <v>20182199</v>
      </c>
      <c r="C95" t="s">
        <v>10</v>
      </c>
      <c r="D95" t="s">
        <v>151</v>
      </c>
      <c r="E95" s="2"/>
      <c r="F95" t="s">
        <v>22</v>
      </c>
      <c r="G95" t="s">
        <v>19</v>
      </c>
      <c r="H95" t="s">
        <v>19</v>
      </c>
      <c r="I95"/>
    </row>
    <row r="96" spans="1:9">
      <c r="A96" t="s">
        <v>20</v>
      </c>
      <c r="B96" s="1" t="str">
        <f>"20182137"</f>
        <v>20182137</v>
      </c>
      <c r="C96" t="s">
        <v>10</v>
      </c>
      <c r="D96" t="s">
        <v>152</v>
      </c>
      <c r="E96" s="2"/>
      <c r="F96" t="s">
        <v>105</v>
      </c>
      <c r="G96" t="s">
        <v>37</v>
      </c>
      <c r="H96" t="s">
        <v>37</v>
      </c>
      <c r="I96"/>
    </row>
    <row r="97" spans="1:9">
      <c r="A97" t="s">
        <v>20</v>
      </c>
      <c r="B97" s="1" t="str">
        <f>"20182033"</f>
        <v>20182033</v>
      </c>
      <c r="C97" t="s">
        <v>10</v>
      </c>
      <c r="D97" t="s">
        <v>153</v>
      </c>
      <c r="E97" s="2"/>
      <c r="F97" t="s">
        <v>66</v>
      </c>
      <c r="G97" t="s">
        <v>25</v>
      </c>
      <c r="H97" t="s">
        <v>25</v>
      </c>
      <c r="I97"/>
    </row>
    <row r="98" spans="1:9">
      <c r="A98" t="s">
        <v>20</v>
      </c>
      <c r="B98" s="1" t="str">
        <f>"20182020"</f>
        <v>20182020</v>
      </c>
      <c r="C98" t="s">
        <v>10</v>
      </c>
      <c r="D98" t="s">
        <v>154</v>
      </c>
      <c r="E98" s="2"/>
      <c r="F98" t="s">
        <v>12</v>
      </c>
      <c r="G98" t="s">
        <v>146</v>
      </c>
      <c r="H98" t="s">
        <v>146</v>
      </c>
      <c r="I98"/>
    </row>
    <row r="99" spans="1:9">
      <c r="A99" t="s">
        <v>20</v>
      </c>
      <c r="B99" s="1" t="str">
        <f>"20182135"</f>
        <v>20182135</v>
      </c>
      <c r="C99" t="s">
        <v>10</v>
      </c>
      <c r="D99" t="s">
        <v>155</v>
      </c>
      <c r="E99" s="2"/>
      <c r="F99" t="s">
        <v>31</v>
      </c>
      <c r="G99" t="s">
        <v>156</v>
      </c>
      <c r="H99" t="s">
        <v>156</v>
      </c>
      <c r="I99"/>
    </row>
    <row r="100" spans="1:9">
      <c r="A100" t="s">
        <v>20</v>
      </c>
      <c r="B100" s="1" t="str">
        <f>"20182039"</f>
        <v>20182039</v>
      </c>
      <c r="C100" t="s">
        <v>10</v>
      </c>
      <c r="D100" t="s">
        <v>157</v>
      </c>
      <c r="E100" s="2"/>
      <c r="F100" t="s">
        <v>158</v>
      </c>
      <c r="G100" t="s">
        <v>29</v>
      </c>
      <c r="H100" t="s">
        <v>29</v>
      </c>
      <c r="I100"/>
    </row>
    <row r="101" spans="1:9">
      <c r="A101" t="s">
        <v>20</v>
      </c>
      <c r="B101" s="1" t="str">
        <f>"20182007"</f>
        <v>20182007</v>
      </c>
      <c r="C101" t="s">
        <v>10</v>
      </c>
      <c r="D101" t="s">
        <v>159</v>
      </c>
      <c r="E101" s="2"/>
      <c r="F101" t="s">
        <v>107</v>
      </c>
      <c r="G101" t="s">
        <v>13</v>
      </c>
      <c r="H101" t="s">
        <v>13</v>
      </c>
      <c r="I101"/>
    </row>
    <row r="102" spans="1:9">
      <c r="A102" t="s">
        <v>20</v>
      </c>
      <c r="B102" s="1" t="str">
        <f>"20182043"</f>
        <v>20182043</v>
      </c>
      <c r="C102" t="s">
        <v>10</v>
      </c>
      <c r="D102" t="s">
        <v>160</v>
      </c>
      <c r="E102" s="2"/>
      <c r="F102" t="s">
        <v>22</v>
      </c>
      <c r="G102" t="s">
        <v>58</v>
      </c>
      <c r="H102" t="s">
        <v>58</v>
      </c>
      <c r="I102"/>
    </row>
    <row r="103" spans="1:9">
      <c r="A103" t="s">
        <v>20</v>
      </c>
      <c r="B103" s="1" t="str">
        <f>"20182102"</f>
        <v>20182102</v>
      </c>
      <c r="C103" t="s">
        <v>10</v>
      </c>
      <c r="D103" t="s">
        <v>161</v>
      </c>
      <c r="E103" s="2"/>
      <c r="F103" t="s">
        <v>31</v>
      </c>
      <c r="G103" t="s">
        <v>19</v>
      </c>
      <c r="H103" t="s">
        <v>19</v>
      </c>
      <c r="I103"/>
    </row>
    <row r="104" spans="1:9">
      <c r="A104" t="s">
        <v>20</v>
      </c>
      <c r="B104" s="1" t="str">
        <f>"20182034"</f>
        <v>20182034</v>
      </c>
      <c r="C104" t="s">
        <v>10</v>
      </c>
      <c r="D104" t="s">
        <v>162</v>
      </c>
      <c r="E104" s="2"/>
      <c r="F104" t="s">
        <v>66</v>
      </c>
      <c r="G104" t="s">
        <v>25</v>
      </c>
      <c r="H104" t="s">
        <v>25</v>
      </c>
      <c r="I104"/>
    </row>
    <row r="105" spans="1:9">
      <c r="A105" t="s">
        <v>20</v>
      </c>
      <c r="B105" s="1" t="str">
        <f>"20182163"</f>
        <v>20182163</v>
      </c>
      <c r="C105" t="s">
        <v>10</v>
      </c>
      <c r="D105" t="s">
        <v>163</v>
      </c>
      <c r="E105" s="2"/>
      <c r="F105" t="s">
        <v>12</v>
      </c>
      <c r="G105" t="s">
        <v>13</v>
      </c>
      <c r="H105" t="s">
        <v>13</v>
      </c>
      <c r="I105"/>
    </row>
    <row r="106" spans="1:9">
      <c r="A106" t="s">
        <v>20</v>
      </c>
      <c r="B106" s="1" t="str">
        <f>"20182213"</f>
        <v>20182213</v>
      </c>
      <c r="C106" t="s">
        <v>10</v>
      </c>
      <c r="D106" t="s">
        <v>164</v>
      </c>
      <c r="E106" s="2"/>
      <c r="F106" t="s">
        <v>79</v>
      </c>
      <c r="G106" t="s">
        <v>80</v>
      </c>
      <c r="H106" t="s">
        <v>80</v>
      </c>
      <c r="I106"/>
    </row>
    <row r="107" spans="1:9">
      <c r="A107" t="s">
        <v>20</v>
      </c>
      <c r="B107" s="1" t="str">
        <f>"20182207"</f>
        <v>20182207</v>
      </c>
      <c r="C107" t="s">
        <v>10</v>
      </c>
      <c r="D107" t="s">
        <v>165</v>
      </c>
      <c r="E107" s="2"/>
      <c r="F107" t="s">
        <v>79</v>
      </c>
      <c r="G107" t="s">
        <v>80</v>
      </c>
      <c r="H107" t="s">
        <v>80</v>
      </c>
      <c r="I107"/>
    </row>
    <row r="108" spans="1:9">
      <c r="A108" t="s">
        <v>20</v>
      </c>
      <c r="B108" s="1" t="str">
        <f>"20182173"</f>
        <v>20182173</v>
      </c>
      <c r="C108" t="s">
        <v>10</v>
      </c>
      <c r="D108" t="s">
        <v>166</v>
      </c>
      <c r="E108" s="2"/>
      <c r="F108" t="s">
        <v>79</v>
      </c>
      <c r="G108" t="s">
        <v>80</v>
      </c>
      <c r="H108" t="s">
        <v>80</v>
      </c>
      <c r="I108"/>
    </row>
    <row r="109" spans="1:9">
      <c r="A109" t="s">
        <v>20</v>
      </c>
      <c r="B109" s="1" t="str">
        <f>"20182054"</f>
        <v>20182054</v>
      </c>
      <c r="C109" t="s">
        <v>10</v>
      </c>
      <c r="D109" t="s">
        <v>167</v>
      </c>
      <c r="E109" s="2"/>
      <c r="F109" t="s">
        <v>22</v>
      </c>
      <c r="G109" t="s">
        <v>13</v>
      </c>
      <c r="H109" t="s">
        <v>13</v>
      </c>
      <c r="I109"/>
    </row>
    <row r="110" spans="1:9">
      <c r="A110" t="s">
        <v>20</v>
      </c>
      <c r="B110" s="1" t="str">
        <f>"20182029"</f>
        <v>20182029</v>
      </c>
      <c r="C110" t="s">
        <v>10</v>
      </c>
      <c r="D110" t="s">
        <v>168</v>
      </c>
      <c r="E110" s="2"/>
      <c r="F110" t="s">
        <v>52</v>
      </c>
      <c r="G110" t="s">
        <v>19</v>
      </c>
      <c r="H110" t="s">
        <v>19</v>
      </c>
      <c r="I110"/>
    </row>
    <row r="111" spans="1:9">
      <c r="A111" t="s">
        <v>20</v>
      </c>
      <c r="B111" s="1" t="str">
        <f>"20182030"</f>
        <v>20182030</v>
      </c>
      <c r="C111" t="s">
        <v>10</v>
      </c>
      <c r="D111" t="s">
        <v>169</v>
      </c>
      <c r="E111" s="2"/>
      <c r="F111" t="s">
        <v>52</v>
      </c>
      <c r="G111" t="s">
        <v>75</v>
      </c>
      <c r="H111" t="s">
        <v>75</v>
      </c>
      <c r="I111"/>
    </row>
    <row r="112" spans="1:9">
      <c r="A112" t="s">
        <v>20</v>
      </c>
      <c r="B112" s="1" t="str">
        <f>"20182082"</f>
        <v>20182082</v>
      </c>
      <c r="C112" t="s">
        <v>10</v>
      </c>
      <c r="D112" t="s">
        <v>170</v>
      </c>
      <c r="E112" s="2"/>
      <c r="F112" t="s">
        <v>50</v>
      </c>
      <c r="G112" t="s">
        <v>13</v>
      </c>
      <c r="H112" t="s">
        <v>13</v>
      </c>
      <c r="I112"/>
    </row>
    <row r="113" spans="1:9">
      <c r="A113" t="s">
        <v>20</v>
      </c>
      <c r="B113" s="1" t="str">
        <f>"20182123"</f>
        <v>20182123</v>
      </c>
      <c r="C113" t="s">
        <v>10</v>
      </c>
      <c r="D113" t="s">
        <v>171</v>
      </c>
      <c r="E113" s="2"/>
      <c r="F113" t="s">
        <v>22</v>
      </c>
      <c r="G113" t="s">
        <v>37</v>
      </c>
      <c r="H113" t="s">
        <v>37</v>
      </c>
      <c r="I113"/>
    </row>
    <row r="114" spans="1:9">
      <c r="A114" t="s">
        <v>20</v>
      </c>
      <c r="B114" s="1" t="str">
        <f>"20182190"</f>
        <v>20182190</v>
      </c>
      <c r="C114" t="s">
        <v>10</v>
      </c>
      <c r="D114" t="s">
        <v>172</v>
      </c>
      <c r="E114" s="2"/>
      <c r="F114" t="s">
        <v>105</v>
      </c>
      <c r="G114" t="s">
        <v>19</v>
      </c>
      <c r="H114" t="s">
        <v>19</v>
      </c>
      <c r="I114"/>
    </row>
    <row r="115" spans="1:9">
      <c r="A115" t="s">
        <v>20</v>
      </c>
      <c r="B115" s="1" t="str">
        <f>"20182060"</f>
        <v>20182060</v>
      </c>
      <c r="C115" t="s">
        <v>10</v>
      </c>
      <c r="D115" t="s">
        <v>173</v>
      </c>
      <c r="E115" s="2"/>
      <c r="F115" t="s">
        <v>27</v>
      </c>
      <c r="G115" t="s">
        <v>25</v>
      </c>
      <c r="H115" t="s">
        <v>25</v>
      </c>
      <c r="I115"/>
    </row>
    <row r="116" spans="1:9">
      <c r="A116" t="s">
        <v>20</v>
      </c>
      <c r="B116" s="1" t="str">
        <f>"20182223"</f>
        <v>20182223</v>
      </c>
      <c r="C116" t="s">
        <v>10</v>
      </c>
      <c r="D116" t="s">
        <v>174</v>
      </c>
      <c r="E116" s="2"/>
      <c r="F116" t="s">
        <v>48</v>
      </c>
      <c r="G116" t="s">
        <v>175</v>
      </c>
      <c r="H116" t="s">
        <v>175</v>
      </c>
      <c r="I116"/>
    </row>
    <row r="117" spans="1:9">
      <c r="A117" t="s">
        <v>20</v>
      </c>
      <c r="B117" s="1" t="str">
        <f>"20182165"</f>
        <v>20182165</v>
      </c>
      <c r="C117" t="s">
        <v>10</v>
      </c>
      <c r="D117" t="s">
        <v>14</v>
      </c>
      <c r="E117" s="2"/>
      <c r="F117" t="s">
        <v>12</v>
      </c>
      <c r="G117" t="s">
        <v>13</v>
      </c>
      <c r="H117" t="s">
        <v>13</v>
      </c>
      <c r="I117"/>
    </row>
    <row r="118" spans="1:9">
      <c r="A118" t="s">
        <v>20</v>
      </c>
      <c r="B118" s="1" t="str">
        <f>"20182074"</f>
        <v>20182074</v>
      </c>
      <c r="C118" t="s">
        <v>10</v>
      </c>
      <c r="D118" t="s">
        <v>176</v>
      </c>
      <c r="E118" s="2"/>
      <c r="F118" t="s">
        <v>22</v>
      </c>
      <c r="G118" t="s">
        <v>177</v>
      </c>
      <c r="H118" t="s">
        <v>177</v>
      </c>
      <c r="I118"/>
    </row>
    <row r="119" spans="1:9">
      <c r="A119" t="s">
        <v>20</v>
      </c>
      <c r="B119" s="1" t="str">
        <f>"20182076"</f>
        <v>20182076</v>
      </c>
      <c r="C119" t="s">
        <v>10</v>
      </c>
      <c r="D119" t="s">
        <v>178</v>
      </c>
      <c r="E119" s="2"/>
      <c r="F119" t="s">
        <v>22</v>
      </c>
      <c r="G119" t="s">
        <v>80</v>
      </c>
      <c r="H119" t="s">
        <v>80</v>
      </c>
      <c r="I119"/>
    </row>
    <row r="120" spans="1:9">
      <c r="A120" t="s">
        <v>20</v>
      </c>
      <c r="B120" s="1" t="str">
        <f>"20182125"</f>
        <v>20182125</v>
      </c>
      <c r="C120" t="s">
        <v>10</v>
      </c>
      <c r="D120" t="s">
        <v>179</v>
      </c>
      <c r="E120" s="2"/>
      <c r="F120" t="s">
        <v>116</v>
      </c>
      <c r="G120" t="s">
        <v>37</v>
      </c>
      <c r="H120" t="s">
        <v>37</v>
      </c>
      <c r="I120"/>
    </row>
    <row r="121" spans="1:9">
      <c r="A121" t="s">
        <v>20</v>
      </c>
      <c r="B121" s="1" t="str">
        <f>"20182127"</f>
        <v>20182127</v>
      </c>
      <c r="C121" t="s">
        <v>10</v>
      </c>
      <c r="D121" t="s">
        <v>180</v>
      </c>
      <c r="E121" s="2"/>
      <c r="F121" t="s">
        <v>116</v>
      </c>
      <c r="G121" t="s">
        <v>37</v>
      </c>
      <c r="H121" t="s">
        <v>37</v>
      </c>
      <c r="I121"/>
    </row>
    <row r="122" spans="1:9">
      <c r="A122" t="s">
        <v>20</v>
      </c>
      <c r="B122" s="1" t="str">
        <f>"20162126"</f>
        <v>20162126</v>
      </c>
      <c r="C122" t="s">
        <v>10</v>
      </c>
      <c r="D122" t="s">
        <v>181</v>
      </c>
      <c r="E122" s="2"/>
      <c r="F122" t="s">
        <v>116</v>
      </c>
      <c r="G122" t="s">
        <v>37</v>
      </c>
      <c r="H122" t="s">
        <v>37</v>
      </c>
      <c r="I122"/>
    </row>
    <row r="123" spans="1:9">
      <c r="A123" t="s">
        <v>20</v>
      </c>
      <c r="B123" s="1" t="str">
        <f>"20182124"</f>
        <v>20182124</v>
      </c>
      <c r="C123" t="s">
        <v>10</v>
      </c>
      <c r="D123" t="s">
        <v>182</v>
      </c>
      <c r="E123" s="2"/>
      <c r="F123" t="s">
        <v>116</v>
      </c>
      <c r="G123" t="s">
        <v>37</v>
      </c>
      <c r="H123" t="s">
        <v>37</v>
      </c>
      <c r="I123"/>
    </row>
    <row r="124" spans="1:9">
      <c r="A124" t="s">
        <v>20</v>
      </c>
      <c r="B124" s="1" t="str">
        <f>"20182139"</f>
        <v>20182139</v>
      </c>
      <c r="C124" t="s">
        <v>10</v>
      </c>
      <c r="D124" t="s">
        <v>183</v>
      </c>
      <c r="E124" s="2"/>
      <c r="F124" t="s">
        <v>184</v>
      </c>
      <c r="G124" t="s">
        <v>37</v>
      </c>
      <c r="H124" t="s">
        <v>37</v>
      </c>
      <c r="I124"/>
    </row>
    <row r="125" spans="1:9">
      <c r="A125" t="s">
        <v>20</v>
      </c>
      <c r="B125" s="1" t="str">
        <f>"20182138"</f>
        <v>20182138</v>
      </c>
      <c r="C125" t="s">
        <v>10</v>
      </c>
      <c r="D125" t="s">
        <v>185</v>
      </c>
      <c r="E125" s="2"/>
      <c r="F125" t="s">
        <v>184</v>
      </c>
      <c r="G125" t="s">
        <v>37</v>
      </c>
      <c r="H125" t="s">
        <v>37</v>
      </c>
      <c r="I125"/>
    </row>
    <row r="126" spans="1:9">
      <c r="A126" t="s">
        <v>20</v>
      </c>
      <c r="B126" s="1" t="str">
        <f>"20182130"</f>
        <v>20182130</v>
      </c>
      <c r="C126" t="s">
        <v>10</v>
      </c>
      <c r="D126" t="s">
        <v>186</v>
      </c>
      <c r="E126" s="2"/>
      <c r="F126" t="s">
        <v>90</v>
      </c>
      <c r="G126" t="s">
        <v>37</v>
      </c>
      <c r="H126" t="s">
        <v>37</v>
      </c>
      <c r="I126"/>
    </row>
    <row r="127" spans="1:9">
      <c r="A127" t="s">
        <v>20</v>
      </c>
      <c r="B127" s="1" t="str">
        <f>"20182216"</f>
        <v>20182216</v>
      </c>
      <c r="C127" t="s">
        <v>10</v>
      </c>
      <c r="D127" t="s">
        <v>187</v>
      </c>
      <c r="E127" s="2"/>
      <c r="F127" t="s">
        <v>140</v>
      </c>
      <c r="G127" t="s">
        <v>120</v>
      </c>
      <c r="H127" t="s">
        <v>120</v>
      </c>
      <c r="I127"/>
    </row>
    <row r="128" spans="1:9">
      <c r="A128" t="s">
        <v>20</v>
      </c>
      <c r="B128" s="1" t="str">
        <f>"20182040"</f>
        <v>20182040</v>
      </c>
      <c r="C128" t="s">
        <v>10</v>
      </c>
      <c r="D128" t="s">
        <v>188</v>
      </c>
      <c r="E128" s="2"/>
      <c r="F128" t="s">
        <v>68</v>
      </c>
      <c r="G128" t="s">
        <v>189</v>
      </c>
      <c r="H128" t="s">
        <v>189</v>
      </c>
      <c r="I128"/>
    </row>
    <row r="129" spans="1:9">
      <c r="A129" t="s">
        <v>20</v>
      </c>
      <c r="B129" s="1" t="str">
        <f>"20182058"</f>
        <v>20182058</v>
      </c>
      <c r="C129" t="s">
        <v>10</v>
      </c>
      <c r="D129" t="s">
        <v>190</v>
      </c>
      <c r="E129" s="2"/>
      <c r="F129" t="s">
        <v>191</v>
      </c>
      <c r="G129" t="s">
        <v>37</v>
      </c>
      <c r="H129" t="s">
        <v>37</v>
      </c>
      <c r="I129"/>
    </row>
    <row r="130" spans="1:9">
      <c r="A130" t="s">
        <v>20</v>
      </c>
      <c r="B130" s="1" t="str">
        <f>"20182059"</f>
        <v>20182059</v>
      </c>
      <c r="C130" t="s">
        <v>10</v>
      </c>
      <c r="D130" t="s">
        <v>192</v>
      </c>
      <c r="E130" s="2"/>
      <c r="F130" t="s">
        <v>191</v>
      </c>
      <c r="G130" t="s">
        <v>37</v>
      </c>
      <c r="H130" t="s">
        <v>37</v>
      </c>
      <c r="I130"/>
    </row>
    <row r="131" spans="1:9">
      <c r="A131" t="s">
        <v>20</v>
      </c>
      <c r="B131" s="1" t="str">
        <f>"20182037"</f>
        <v>20182037</v>
      </c>
      <c r="C131" t="s">
        <v>10</v>
      </c>
      <c r="D131" t="s">
        <v>193</v>
      </c>
      <c r="E131" s="2"/>
      <c r="F131" t="s">
        <v>105</v>
      </c>
      <c r="G131" t="s">
        <v>156</v>
      </c>
      <c r="H131" t="s">
        <v>156</v>
      </c>
      <c r="I131"/>
    </row>
    <row r="132" spans="1:9">
      <c r="A132" t="s">
        <v>20</v>
      </c>
      <c r="B132" s="1" t="str">
        <f>"20182038"</f>
        <v>20182038</v>
      </c>
      <c r="C132" t="s">
        <v>10</v>
      </c>
      <c r="D132" t="s">
        <v>194</v>
      </c>
      <c r="E132" s="2"/>
      <c r="F132" t="s">
        <v>105</v>
      </c>
      <c r="G132" t="s">
        <v>156</v>
      </c>
      <c r="H132" t="s">
        <v>156</v>
      </c>
      <c r="I132"/>
    </row>
    <row r="133" spans="1:9">
      <c r="A133" t="s">
        <v>20</v>
      </c>
      <c r="B133" s="1" t="str">
        <f>"20182021"</f>
        <v>20182021</v>
      </c>
      <c r="C133" t="s">
        <v>10</v>
      </c>
      <c r="D133" t="s">
        <v>195</v>
      </c>
      <c r="E133" s="2"/>
      <c r="F133" t="s">
        <v>12</v>
      </c>
      <c r="G133" t="s">
        <v>146</v>
      </c>
      <c r="H133" t="s">
        <v>146</v>
      </c>
      <c r="I133"/>
    </row>
    <row r="134" spans="1:9">
      <c r="A134" t="s">
        <v>20</v>
      </c>
      <c r="B134" s="1" t="str">
        <f>"20182002"</f>
        <v>20182002</v>
      </c>
      <c r="C134" t="s">
        <v>10</v>
      </c>
      <c r="D134" t="s">
        <v>196</v>
      </c>
      <c r="E134" s="2"/>
      <c r="F134" t="s">
        <v>22</v>
      </c>
      <c r="G134" t="s">
        <v>37</v>
      </c>
      <c r="H134" t="s">
        <v>37</v>
      </c>
      <c r="I134"/>
    </row>
    <row r="135" spans="1:9">
      <c r="A135" t="s">
        <v>20</v>
      </c>
      <c r="B135" s="1" t="str">
        <f>"20182080"</f>
        <v>20182080</v>
      </c>
      <c r="C135" t="s">
        <v>10</v>
      </c>
      <c r="D135" t="s">
        <v>197</v>
      </c>
      <c r="E135" s="2"/>
      <c r="F135" t="s">
        <v>22</v>
      </c>
      <c r="G135" t="s">
        <v>177</v>
      </c>
      <c r="H135" t="s">
        <v>177</v>
      </c>
      <c r="I135"/>
    </row>
    <row r="136" spans="1:9">
      <c r="A136" t="s">
        <v>20</v>
      </c>
      <c r="B136" s="1" t="str">
        <f>"20182031"</f>
        <v>20182031</v>
      </c>
      <c r="C136" t="s">
        <v>10</v>
      </c>
      <c r="D136" t="s">
        <v>198</v>
      </c>
      <c r="E136" s="2"/>
      <c r="F136" t="s">
        <v>22</v>
      </c>
      <c r="G136" t="s">
        <v>80</v>
      </c>
      <c r="H136" t="s">
        <v>80</v>
      </c>
      <c r="I136"/>
    </row>
    <row r="137" spans="1:9">
      <c r="A137" t="s">
        <v>20</v>
      </c>
      <c r="B137" s="1" t="str">
        <f>"20182003"</f>
        <v>20182003</v>
      </c>
      <c r="C137" t="s">
        <v>10</v>
      </c>
      <c r="D137" t="s">
        <v>199</v>
      </c>
      <c r="E137" s="2"/>
      <c r="F137" t="s">
        <v>22</v>
      </c>
      <c r="G137" t="s">
        <v>37</v>
      </c>
      <c r="H137" t="s">
        <v>37</v>
      </c>
      <c r="I137"/>
    </row>
    <row r="138" spans="1:9">
      <c r="A138" t="s">
        <v>20</v>
      </c>
      <c r="B138" s="1" t="str">
        <f>"20182191"</f>
        <v>20182191</v>
      </c>
      <c r="C138" t="s">
        <v>10</v>
      </c>
      <c r="D138" t="s">
        <v>200</v>
      </c>
      <c r="E138" s="2"/>
      <c r="F138" t="s">
        <v>48</v>
      </c>
      <c r="G138" t="s">
        <v>19</v>
      </c>
      <c r="H138" t="s">
        <v>19</v>
      </c>
      <c r="I138"/>
    </row>
    <row r="139" spans="1:9">
      <c r="A139" t="s">
        <v>20</v>
      </c>
      <c r="B139" s="1" t="str">
        <f>"20182028"</f>
        <v>20182028</v>
      </c>
      <c r="C139" t="s">
        <v>10</v>
      </c>
      <c r="D139" t="s">
        <v>201</v>
      </c>
      <c r="E139" s="2"/>
      <c r="F139" t="s">
        <v>52</v>
      </c>
      <c r="G139" t="s">
        <v>19</v>
      </c>
      <c r="H139" t="s">
        <v>19</v>
      </c>
      <c r="I139"/>
    </row>
    <row r="140" spans="1:9">
      <c r="A140" t="s">
        <v>20</v>
      </c>
      <c r="B140" s="1" t="str">
        <f>"20182026"</f>
        <v>20182026</v>
      </c>
      <c r="C140" t="s">
        <v>10</v>
      </c>
      <c r="D140" t="s">
        <v>202</v>
      </c>
      <c r="E140" s="2"/>
      <c r="F140" t="s">
        <v>52</v>
      </c>
      <c r="G140" t="s">
        <v>19</v>
      </c>
      <c r="H140" t="s">
        <v>19</v>
      </c>
      <c r="I140"/>
    </row>
    <row r="141" spans="1:9">
      <c r="A141" t="s">
        <v>20</v>
      </c>
      <c r="B141" s="1" t="str">
        <f>"20182126"</f>
        <v>20182126</v>
      </c>
      <c r="C141" t="s">
        <v>10</v>
      </c>
      <c r="D141" t="s">
        <v>203</v>
      </c>
      <c r="E141" s="2"/>
      <c r="F141" t="s">
        <v>52</v>
      </c>
      <c r="G141" t="s">
        <v>82</v>
      </c>
      <c r="H141" t="s">
        <v>82</v>
      </c>
      <c r="I141"/>
    </row>
    <row r="142" spans="1:9">
      <c r="A142" t="s">
        <v>20</v>
      </c>
      <c r="B142" s="1" t="str">
        <f>"20182027"</f>
        <v>20182027</v>
      </c>
      <c r="C142" t="s">
        <v>10</v>
      </c>
      <c r="D142" t="s">
        <v>204</v>
      </c>
      <c r="E142" s="2"/>
      <c r="F142" t="s">
        <v>52</v>
      </c>
      <c r="G142" t="s">
        <v>82</v>
      </c>
      <c r="H142" t="s">
        <v>82</v>
      </c>
      <c r="I142"/>
    </row>
    <row r="143" spans="1:9">
      <c r="A143" t="s">
        <v>20</v>
      </c>
      <c r="B143" s="1" t="str">
        <f>"20182016"</f>
        <v>20182016</v>
      </c>
      <c r="C143" t="s">
        <v>10</v>
      </c>
      <c r="D143" t="s">
        <v>205</v>
      </c>
      <c r="E143" s="2"/>
      <c r="F143" t="s">
        <v>206</v>
      </c>
      <c r="G143" t="s">
        <v>146</v>
      </c>
      <c r="H143" t="s">
        <v>146</v>
      </c>
      <c r="I143"/>
    </row>
    <row r="144" spans="1:9">
      <c r="A144" t="s">
        <v>20</v>
      </c>
      <c r="B144" s="1" t="str">
        <f>"20702009"</f>
        <v>20702009</v>
      </c>
      <c r="C144" t="s">
        <v>207</v>
      </c>
      <c r="D144" t="s">
        <v>208</v>
      </c>
      <c r="E144" s="2"/>
      <c r="F144" t="s">
        <v>90</v>
      </c>
      <c r="G144" t="s">
        <v>175</v>
      </c>
      <c r="H144" t="s">
        <v>175</v>
      </c>
      <c r="I144"/>
    </row>
    <row r="145" spans="1:9">
      <c r="A145" t="s">
        <v>20</v>
      </c>
      <c r="B145" s="1" t="str">
        <f>"20182225"</f>
        <v>20182225</v>
      </c>
      <c r="C145" t="s">
        <v>209</v>
      </c>
      <c r="D145" t="s">
        <v>210</v>
      </c>
      <c r="E145" s="2"/>
      <c r="F145" t="s">
        <v>66</v>
      </c>
      <c r="G145" t="s">
        <v>44</v>
      </c>
      <c r="H145" t="s">
        <v>44</v>
      </c>
      <c r="I145"/>
    </row>
    <row r="146" spans="1:9">
      <c r="A146" t="s">
        <v>211</v>
      </c>
      <c r="B146" s="1" t="str">
        <f>"20212810"</f>
        <v>20212810</v>
      </c>
      <c r="C146" t="s">
        <v>10</v>
      </c>
      <c r="D146" t="s">
        <v>212</v>
      </c>
      <c r="E146" s="2"/>
      <c r="F146" t="s">
        <v>90</v>
      </c>
      <c r="G146"/>
      <c r="H146" t="s">
        <v>213</v>
      </c>
      <c r="I146"/>
    </row>
    <row r="147" spans="1:9">
      <c r="A147" t="s">
        <v>211</v>
      </c>
      <c r="B147" s="1" t="str">
        <f>"20212811"</f>
        <v>20212811</v>
      </c>
      <c r="C147" t="s">
        <v>10</v>
      </c>
      <c r="D147" t="s">
        <v>214</v>
      </c>
      <c r="E147" s="2"/>
      <c r="F147" t="s">
        <v>90</v>
      </c>
      <c r="G147"/>
      <c r="H147" t="s">
        <v>213</v>
      </c>
      <c r="I147"/>
    </row>
    <row r="148" spans="1:9">
      <c r="A148" t="s">
        <v>211</v>
      </c>
      <c r="B148" s="1" t="str">
        <f>"20657284"</f>
        <v>20657284</v>
      </c>
      <c r="C148" t="s">
        <v>215</v>
      </c>
      <c r="D148" t="s">
        <v>216</v>
      </c>
      <c r="E148" s="2"/>
      <c r="F148" t="s">
        <v>217</v>
      </c>
      <c r="G148" t="s">
        <v>177</v>
      </c>
      <c r="H148" t="s">
        <v>177</v>
      </c>
      <c r="I148"/>
    </row>
    <row r="149" spans="1:9">
      <c r="A149" t="s">
        <v>211</v>
      </c>
      <c r="B149" s="1" t="str">
        <f>"30207284"</f>
        <v>30207284</v>
      </c>
      <c r="C149" t="s">
        <v>215</v>
      </c>
      <c r="D149" t="s">
        <v>216</v>
      </c>
      <c r="E149" s="2"/>
      <c r="F149" t="s">
        <v>217</v>
      </c>
      <c r="G149" t="s">
        <v>177</v>
      </c>
      <c r="H149" t="s">
        <v>218</v>
      </c>
      <c r="I149"/>
    </row>
    <row r="150" spans="1:9">
      <c r="A150" t="s">
        <v>211</v>
      </c>
      <c r="B150" s="1" t="str">
        <f>"20891527"</f>
        <v>20891527</v>
      </c>
      <c r="C150" t="s">
        <v>215</v>
      </c>
      <c r="D150" t="s">
        <v>219</v>
      </c>
      <c r="E150" s="2"/>
      <c r="F150" t="s">
        <v>217</v>
      </c>
      <c r="G150" t="s">
        <v>82</v>
      </c>
      <c r="H150" t="s">
        <v>82</v>
      </c>
      <c r="I150"/>
    </row>
    <row r="151" spans="1:9">
      <c r="A151" t="s">
        <v>211</v>
      </c>
      <c r="B151" s="1" t="str">
        <f>"20657239"</f>
        <v>20657239</v>
      </c>
      <c r="C151" t="s">
        <v>215</v>
      </c>
      <c r="D151" t="s">
        <v>220</v>
      </c>
      <c r="E151" s="2"/>
      <c r="F151" t="s">
        <v>221</v>
      </c>
      <c r="G151" t="s">
        <v>82</v>
      </c>
      <c r="H151" t="s">
        <v>82</v>
      </c>
      <c r="I151"/>
    </row>
    <row r="152" spans="1:9">
      <c r="A152" t="s">
        <v>211</v>
      </c>
      <c r="B152" s="1" t="str">
        <f>"20220002"</f>
        <v>20220002</v>
      </c>
      <c r="C152"/>
      <c r="D152" t="s">
        <v>222</v>
      </c>
      <c r="E152" s="2"/>
      <c r="F152" t="s">
        <v>223</v>
      </c>
      <c r="G152" t="s">
        <v>224</v>
      </c>
      <c r="H152" t="s">
        <v>224</v>
      </c>
      <c r="I152"/>
    </row>
    <row r="153" spans="1:9">
      <c r="A153" t="s">
        <v>211</v>
      </c>
      <c r="B153" s="1" t="str">
        <f>"22443184"</f>
        <v>22443184</v>
      </c>
      <c r="C153" t="s">
        <v>225</v>
      </c>
      <c r="D153" t="s">
        <v>226</v>
      </c>
      <c r="E153" s="2"/>
      <c r="F153" t="s">
        <v>90</v>
      </c>
      <c r="G153" t="s">
        <v>227</v>
      </c>
      <c r="H153" t="s">
        <v>227</v>
      </c>
      <c r="I153"/>
    </row>
    <row r="154" spans="1:9">
      <c r="A154" t="s">
        <v>211</v>
      </c>
      <c r="B154" s="1" t="str">
        <f>"22443177"</f>
        <v>22443177</v>
      </c>
      <c r="C154" t="s">
        <v>225</v>
      </c>
      <c r="D154" t="s">
        <v>228</v>
      </c>
      <c r="E154" s="2"/>
      <c r="F154" t="s">
        <v>90</v>
      </c>
      <c r="G154" t="s">
        <v>227</v>
      </c>
      <c r="H154" t="s">
        <v>227</v>
      </c>
      <c r="I154"/>
    </row>
    <row r="155" spans="1:9">
      <c r="A155" t="s">
        <v>211</v>
      </c>
      <c r="B155" s="1" t="str">
        <f>"21654646"</f>
        <v>21654646</v>
      </c>
      <c r="C155" t="s">
        <v>225</v>
      </c>
      <c r="D155" t="s">
        <v>220</v>
      </c>
      <c r="E155" s="2"/>
      <c r="F155" t="s">
        <v>221</v>
      </c>
      <c r="G155" t="s">
        <v>19</v>
      </c>
      <c r="H155" t="s">
        <v>19</v>
      </c>
      <c r="I155"/>
    </row>
    <row r="156" spans="1:9">
      <c r="A156" t="s">
        <v>211</v>
      </c>
      <c r="B156" s="1" t="str">
        <f>"20189761"</f>
        <v>20189761</v>
      </c>
      <c r="C156" t="s">
        <v>229</v>
      </c>
      <c r="D156" t="s">
        <v>230</v>
      </c>
      <c r="E156" s="2"/>
      <c r="F156" t="s">
        <v>31</v>
      </c>
      <c r="G156" t="s">
        <v>13</v>
      </c>
      <c r="H156" t="s">
        <v>13</v>
      </c>
      <c r="I156"/>
    </row>
    <row r="157" spans="1:9">
      <c r="A157" t="s">
        <v>211</v>
      </c>
      <c r="B157" s="1" t="str">
        <f>"20093723"</f>
        <v>20093723</v>
      </c>
      <c r="C157" t="s">
        <v>229</v>
      </c>
      <c r="D157" t="s">
        <v>231</v>
      </c>
      <c r="E157" s="2"/>
      <c r="F157" t="s">
        <v>31</v>
      </c>
      <c r="G157" t="s">
        <v>232</v>
      </c>
      <c r="H157" t="s">
        <v>232</v>
      </c>
      <c r="I157"/>
    </row>
    <row r="158" spans="1:9">
      <c r="A158" t="s">
        <v>211</v>
      </c>
      <c r="B158" s="1" t="str">
        <f>"20601492"</f>
        <v>20601492</v>
      </c>
      <c r="C158" t="s">
        <v>229</v>
      </c>
      <c r="D158" t="s">
        <v>233</v>
      </c>
      <c r="E158" s="2"/>
      <c r="F158" t="s">
        <v>31</v>
      </c>
      <c r="G158" t="s">
        <v>13</v>
      </c>
      <c r="H158" t="s">
        <v>13</v>
      </c>
      <c r="I158"/>
    </row>
    <row r="159" spans="1:9">
      <c r="A159" t="s">
        <v>211</v>
      </c>
      <c r="B159" s="1" t="str">
        <f>"20108038"</f>
        <v>20108038</v>
      </c>
      <c r="C159" t="s">
        <v>229</v>
      </c>
      <c r="D159" t="s">
        <v>234</v>
      </c>
      <c r="E159" s="2"/>
      <c r="F159" t="s">
        <v>31</v>
      </c>
      <c r="G159" t="s">
        <v>13</v>
      </c>
      <c r="H159" t="s">
        <v>232</v>
      </c>
      <c r="I159"/>
    </row>
    <row r="160" spans="1:9">
      <c r="A160" t="s">
        <v>211</v>
      </c>
      <c r="B160" s="1" t="str">
        <f>"12005716"</f>
        <v>12005716</v>
      </c>
      <c r="C160" t="s">
        <v>235</v>
      </c>
      <c r="D160" t="s">
        <v>236</v>
      </c>
      <c r="E160" s="2"/>
      <c r="F160" t="s">
        <v>22</v>
      </c>
      <c r="G160" t="s">
        <v>148</v>
      </c>
      <c r="H160" t="s">
        <v>80</v>
      </c>
      <c r="I160"/>
    </row>
    <row r="161" spans="1:9">
      <c r="A161" t="s">
        <v>211</v>
      </c>
      <c r="B161" s="1" t="str">
        <f>"12023016"</f>
        <v>12023016</v>
      </c>
      <c r="C161" t="s">
        <v>237</v>
      </c>
      <c r="D161" t="s">
        <v>238</v>
      </c>
      <c r="E161" s="2">
        <v>0.145</v>
      </c>
      <c r="F161" t="s">
        <v>239</v>
      </c>
      <c r="G161"/>
      <c r="H161" t="s">
        <v>240</v>
      </c>
      <c r="I161"/>
    </row>
    <row r="162" spans="1:9">
      <c r="A162" t="s">
        <v>211</v>
      </c>
      <c r="B162" s="1" t="str">
        <f>"20093150"</f>
        <v>20093150</v>
      </c>
      <c r="C162" t="s">
        <v>241</v>
      </c>
      <c r="D162" t="s">
        <v>242</v>
      </c>
      <c r="E162" s="2"/>
      <c r="F162" t="s">
        <v>68</v>
      </c>
      <c r="G162" t="s">
        <v>243</v>
      </c>
      <c r="H162" t="s">
        <v>243</v>
      </c>
      <c r="I162"/>
    </row>
    <row r="163" spans="1:9">
      <c r="A163" t="s">
        <v>211</v>
      </c>
      <c r="B163" s="1" t="str">
        <f>"20016857"</f>
        <v>20016857</v>
      </c>
      <c r="C163" t="s">
        <v>241</v>
      </c>
      <c r="D163" t="s">
        <v>244</v>
      </c>
      <c r="E163" s="2"/>
      <c r="F163" t="s">
        <v>116</v>
      </c>
      <c r="G163" t="s">
        <v>75</v>
      </c>
      <c r="H163" t="s">
        <v>75</v>
      </c>
      <c r="I163"/>
    </row>
    <row r="164" spans="1:9">
      <c r="A164" t="s">
        <v>211</v>
      </c>
      <c r="B164" s="1" t="str">
        <f>"20190081"</f>
        <v>20190081</v>
      </c>
      <c r="C164" t="s">
        <v>241</v>
      </c>
      <c r="D164" t="s">
        <v>245</v>
      </c>
      <c r="E164" s="2"/>
      <c r="F164" t="s">
        <v>246</v>
      </c>
      <c r="G164" t="s">
        <v>82</v>
      </c>
      <c r="H164" t="s">
        <v>82</v>
      </c>
      <c r="I164"/>
    </row>
    <row r="165" spans="1:9">
      <c r="A165" t="s">
        <v>211</v>
      </c>
      <c r="B165" s="1" t="str">
        <f>"20049577"</f>
        <v>20049577</v>
      </c>
      <c r="C165" t="s">
        <v>241</v>
      </c>
      <c r="D165" t="s">
        <v>247</v>
      </c>
      <c r="E165" s="2"/>
      <c r="F165" t="s">
        <v>248</v>
      </c>
      <c r="G165" t="s">
        <v>80</v>
      </c>
      <c r="H165" t="s">
        <v>80</v>
      </c>
      <c r="I165"/>
    </row>
    <row r="166" spans="1:9">
      <c r="A166" t="s">
        <v>211</v>
      </c>
      <c r="B166" s="1" t="str">
        <f>"20049638"</f>
        <v>20049638</v>
      </c>
      <c r="C166" t="s">
        <v>241</v>
      </c>
      <c r="D166" t="s">
        <v>249</v>
      </c>
      <c r="E166" s="2"/>
      <c r="F166" t="s">
        <v>250</v>
      </c>
      <c r="G166" t="s">
        <v>80</v>
      </c>
      <c r="H166" t="s">
        <v>80</v>
      </c>
      <c r="I166"/>
    </row>
    <row r="167" spans="1:9">
      <c r="A167" t="s">
        <v>211</v>
      </c>
      <c r="B167" s="1" t="str">
        <f>"20049614"</f>
        <v>20049614</v>
      </c>
      <c r="C167" t="s">
        <v>241</v>
      </c>
      <c r="D167" t="s">
        <v>251</v>
      </c>
      <c r="E167" s="2"/>
      <c r="F167" t="s">
        <v>68</v>
      </c>
      <c r="G167" t="s">
        <v>80</v>
      </c>
      <c r="H167" t="s">
        <v>80</v>
      </c>
      <c r="I167"/>
    </row>
    <row r="168" spans="1:9">
      <c r="A168" t="s">
        <v>211</v>
      </c>
      <c r="B168" s="1" t="str">
        <f>"20049591"</f>
        <v>20049591</v>
      </c>
      <c r="C168" t="s">
        <v>241</v>
      </c>
      <c r="D168" t="s">
        <v>233</v>
      </c>
      <c r="E168" s="2"/>
      <c r="F168" t="s">
        <v>252</v>
      </c>
      <c r="G168" t="s">
        <v>80</v>
      </c>
      <c r="H168" t="s">
        <v>80</v>
      </c>
      <c r="I168"/>
    </row>
    <row r="169" spans="1:9">
      <c r="A169" t="s">
        <v>253</v>
      </c>
      <c r="B169" s="1" t="str">
        <f>"20019242"</f>
        <v>20019242</v>
      </c>
      <c r="C169" t="s">
        <v>254</v>
      </c>
      <c r="D169" t="s">
        <v>255</v>
      </c>
      <c r="E169" s="2"/>
      <c r="F169" t="s">
        <v>46</v>
      </c>
      <c r="G169" t="s">
        <v>256</v>
      </c>
      <c r="H169" t="s">
        <v>256</v>
      </c>
      <c r="I169"/>
    </row>
    <row r="170" spans="1:9">
      <c r="A170" t="s">
        <v>253</v>
      </c>
      <c r="B170" s="1" t="str">
        <f>"20019266"</f>
        <v>20019266</v>
      </c>
      <c r="C170" t="s">
        <v>254</v>
      </c>
      <c r="D170" t="s">
        <v>257</v>
      </c>
      <c r="E170" s="2"/>
      <c r="F170" t="s">
        <v>46</v>
      </c>
      <c r="G170" t="s">
        <v>256</v>
      </c>
      <c r="H170" t="s">
        <v>256</v>
      </c>
      <c r="I170"/>
    </row>
    <row r="171" spans="1:9">
      <c r="A171" t="s">
        <v>253</v>
      </c>
      <c r="B171" s="1" t="str">
        <f>"20027213"</f>
        <v>20027213</v>
      </c>
      <c r="C171" t="s">
        <v>254</v>
      </c>
      <c r="D171" t="s">
        <v>258</v>
      </c>
      <c r="E171" s="2"/>
      <c r="F171" t="s">
        <v>46</v>
      </c>
      <c r="G171" t="s">
        <v>256</v>
      </c>
      <c r="H171" t="s">
        <v>256</v>
      </c>
      <c r="I171"/>
    </row>
    <row r="172" spans="1:9">
      <c r="A172" t="s">
        <v>259</v>
      </c>
      <c r="B172" s="1" t="str">
        <f>"24206633"</f>
        <v>24206633</v>
      </c>
      <c r="C172" t="s">
        <v>260</v>
      </c>
      <c r="D172" t="s">
        <v>261</v>
      </c>
      <c r="E172" s="2"/>
      <c r="F172" t="s">
        <v>90</v>
      </c>
      <c r="G172" t="s">
        <v>54</v>
      </c>
      <c r="H172" t="s">
        <v>262</v>
      </c>
      <c r="I172"/>
    </row>
    <row r="173" spans="1:9">
      <c r="A173" t="s">
        <v>259</v>
      </c>
      <c r="B173" s="1" t="str">
        <f>"20212808"</f>
        <v>20212808</v>
      </c>
      <c r="C173" t="s">
        <v>10</v>
      </c>
      <c r="D173" t="s">
        <v>263</v>
      </c>
      <c r="E173" s="2"/>
      <c r="F173" t="s">
        <v>264</v>
      </c>
      <c r="G173"/>
      <c r="H173" t="s">
        <v>265</v>
      </c>
      <c r="I173"/>
    </row>
    <row r="174" spans="1:9">
      <c r="A174" t="s">
        <v>259</v>
      </c>
      <c r="B174" s="1" t="str">
        <f>"20182208"</f>
        <v>20182208</v>
      </c>
      <c r="C174" t="s">
        <v>10</v>
      </c>
      <c r="D174" t="s">
        <v>266</v>
      </c>
      <c r="E174" s="2"/>
      <c r="F174" t="s">
        <v>267</v>
      </c>
      <c r="G174" t="s">
        <v>243</v>
      </c>
      <c r="H174" t="s">
        <v>243</v>
      </c>
      <c r="I174"/>
    </row>
    <row r="175" spans="1:9">
      <c r="A175" t="s">
        <v>259</v>
      </c>
      <c r="B175" s="1" t="str">
        <f>"20627942"</f>
        <v>20627942</v>
      </c>
      <c r="C175" t="s">
        <v>268</v>
      </c>
      <c r="D175" t="s">
        <v>269</v>
      </c>
      <c r="E175" s="2"/>
      <c r="F175" t="s">
        <v>48</v>
      </c>
      <c r="G175" t="s">
        <v>82</v>
      </c>
      <c r="H175" t="s">
        <v>82</v>
      </c>
      <c r="I175"/>
    </row>
    <row r="176" spans="1:9">
      <c r="A176" t="s">
        <v>259</v>
      </c>
      <c r="B176" s="1" t="str">
        <f>"20627904"</f>
        <v>20627904</v>
      </c>
      <c r="C176" t="s">
        <v>268</v>
      </c>
      <c r="D176" t="s">
        <v>270</v>
      </c>
      <c r="E176" s="2"/>
      <c r="F176" t="s">
        <v>48</v>
      </c>
      <c r="G176" t="s">
        <v>82</v>
      </c>
      <c r="H176" t="s">
        <v>82</v>
      </c>
      <c r="I176"/>
    </row>
    <row r="177" spans="1:9">
      <c r="A177" t="s">
        <v>259</v>
      </c>
      <c r="B177" s="1" t="str">
        <f>"20627979"</f>
        <v>20627979</v>
      </c>
      <c r="C177" t="s">
        <v>268</v>
      </c>
      <c r="D177" t="s">
        <v>271</v>
      </c>
      <c r="E177" s="2"/>
      <c r="F177" t="s">
        <v>272</v>
      </c>
      <c r="G177" t="s">
        <v>82</v>
      </c>
      <c r="H177" t="s">
        <v>82</v>
      </c>
      <c r="I177"/>
    </row>
    <row r="178" spans="1:9">
      <c r="A178" t="s">
        <v>259</v>
      </c>
      <c r="B178" s="1" t="str">
        <f>"20015146"</f>
        <v>20015146</v>
      </c>
      <c r="C178" t="s">
        <v>268</v>
      </c>
      <c r="D178" t="s">
        <v>273</v>
      </c>
      <c r="E178" s="2"/>
      <c r="F178" t="s">
        <v>48</v>
      </c>
      <c r="G178" t="s">
        <v>82</v>
      </c>
      <c r="H178" t="s">
        <v>82</v>
      </c>
      <c r="I178"/>
    </row>
    <row r="179" spans="1:9">
      <c r="A179" t="s">
        <v>259</v>
      </c>
      <c r="B179" s="1" t="str">
        <f>"20052744"</f>
        <v>20052744</v>
      </c>
      <c r="C179" t="s">
        <v>268</v>
      </c>
      <c r="D179" t="s">
        <v>274</v>
      </c>
      <c r="E179" s="2"/>
      <c r="F179" t="s">
        <v>272</v>
      </c>
      <c r="G179" t="s">
        <v>13</v>
      </c>
      <c r="H179" t="s">
        <v>13</v>
      </c>
      <c r="I179"/>
    </row>
    <row r="180" spans="1:9">
      <c r="A180" t="s">
        <v>259</v>
      </c>
      <c r="B180" s="1" t="str">
        <f>"20193096"</f>
        <v>20193096</v>
      </c>
      <c r="C180" t="s">
        <v>275</v>
      </c>
      <c r="D180" t="s">
        <v>276</v>
      </c>
      <c r="E180" s="2"/>
      <c r="F180" t="s">
        <v>22</v>
      </c>
      <c r="G180" t="s">
        <v>13</v>
      </c>
      <c r="H180" t="s">
        <v>13</v>
      </c>
      <c r="I180"/>
    </row>
    <row r="181" spans="1:9">
      <c r="A181" t="s">
        <v>259</v>
      </c>
      <c r="B181" s="1" t="str">
        <f>"20195540"</f>
        <v>20195540</v>
      </c>
      <c r="C181" t="s">
        <v>275</v>
      </c>
      <c r="D181" t="s">
        <v>277</v>
      </c>
      <c r="E181" s="2"/>
      <c r="F181" t="s">
        <v>278</v>
      </c>
      <c r="G181" t="s">
        <v>19</v>
      </c>
      <c r="H181" t="s">
        <v>19</v>
      </c>
      <c r="I181"/>
    </row>
    <row r="182" spans="1:9">
      <c r="A182" t="s">
        <v>259</v>
      </c>
      <c r="B182" s="1" t="str">
        <f>"20196073"</f>
        <v>20196073</v>
      </c>
      <c r="C182" t="s">
        <v>275</v>
      </c>
      <c r="D182" t="s">
        <v>279</v>
      </c>
      <c r="E182" s="2"/>
      <c r="F182" t="s">
        <v>278</v>
      </c>
      <c r="G182" t="s">
        <v>75</v>
      </c>
      <c r="H182" t="s">
        <v>75</v>
      </c>
      <c r="I182"/>
    </row>
    <row r="183" spans="1:9">
      <c r="A183" t="s">
        <v>259</v>
      </c>
      <c r="B183" s="1" t="str">
        <f>"20178970"</f>
        <v>20178970</v>
      </c>
      <c r="C183" t="s">
        <v>275</v>
      </c>
      <c r="D183" t="s">
        <v>280</v>
      </c>
      <c r="E183" s="2"/>
      <c r="F183" t="s">
        <v>278</v>
      </c>
      <c r="G183" t="s">
        <v>75</v>
      </c>
      <c r="H183" t="s">
        <v>75</v>
      </c>
      <c r="I183"/>
    </row>
    <row r="184" spans="1:9">
      <c r="A184" t="s">
        <v>259</v>
      </c>
      <c r="B184" s="1" t="str">
        <f>"20219468"</f>
        <v>20219468</v>
      </c>
      <c r="C184" t="s">
        <v>275</v>
      </c>
      <c r="D184" t="s">
        <v>281</v>
      </c>
      <c r="E184" s="2"/>
      <c r="F184" t="s">
        <v>278</v>
      </c>
      <c r="G184" t="s">
        <v>75</v>
      </c>
      <c r="H184" t="s">
        <v>75</v>
      </c>
      <c r="I184"/>
    </row>
    <row r="185" spans="1:9">
      <c r="A185" t="s">
        <v>259</v>
      </c>
      <c r="B185" s="1" t="str">
        <f>"20176303"</f>
        <v>20176303</v>
      </c>
      <c r="C185" t="s">
        <v>275</v>
      </c>
      <c r="D185" t="s">
        <v>282</v>
      </c>
      <c r="E185" s="2"/>
      <c r="F185" t="s">
        <v>278</v>
      </c>
      <c r="G185" t="s">
        <v>58</v>
      </c>
      <c r="H185" t="s">
        <v>58</v>
      </c>
      <c r="I185"/>
    </row>
    <row r="186" spans="1:9">
      <c r="A186" t="s">
        <v>259</v>
      </c>
      <c r="B186" s="1" t="str">
        <f>"20200004"</f>
        <v>20200004</v>
      </c>
      <c r="C186" t="s">
        <v>275</v>
      </c>
      <c r="D186" t="s">
        <v>283</v>
      </c>
      <c r="E186" s="2"/>
      <c r="F186" t="s">
        <v>278</v>
      </c>
      <c r="G186" t="s">
        <v>58</v>
      </c>
      <c r="H186" t="s">
        <v>58</v>
      </c>
      <c r="I186"/>
    </row>
    <row r="187" spans="1:9">
      <c r="A187" t="s">
        <v>259</v>
      </c>
      <c r="B187" s="1" t="str">
        <f>"20195106"</f>
        <v>20195106</v>
      </c>
      <c r="C187" t="s">
        <v>275</v>
      </c>
      <c r="D187" t="s">
        <v>284</v>
      </c>
      <c r="E187" s="2"/>
      <c r="F187" t="s">
        <v>278</v>
      </c>
      <c r="G187" t="s">
        <v>58</v>
      </c>
      <c r="H187" t="s">
        <v>58</v>
      </c>
      <c r="I187"/>
    </row>
    <row r="188" spans="1:9">
      <c r="A188" t="s">
        <v>259</v>
      </c>
      <c r="B188" s="1" t="str">
        <f>"20200003"</f>
        <v>20200003</v>
      </c>
      <c r="C188" t="s">
        <v>275</v>
      </c>
      <c r="D188" t="s">
        <v>285</v>
      </c>
      <c r="E188" s="2"/>
      <c r="F188" t="s">
        <v>286</v>
      </c>
      <c r="G188" t="s">
        <v>287</v>
      </c>
      <c r="H188" t="s">
        <v>287</v>
      </c>
      <c r="I188"/>
    </row>
    <row r="189" spans="1:9">
      <c r="A189" t="s">
        <v>259</v>
      </c>
      <c r="B189" s="1" t="str">
        <f>"20200002"</f>
        <v>20200002</v>
      </c>
      <c r="C189" t="s">
        <v>275</v>
      </c>
      <c r="D189" t="s">
        <v>288</v>
      </c>
      <c r="E189" s="2"/>
      <c r="F189" t="s">
        <v>22</v>
      </c>
      <c r="G189" t="s">
        <v>19</v>
      </c>
      <c r="H189" t="s">
        <v>19</v>
      </c>
      <c r="I189"/>
    </row>
    <row r="190" spans="1:9">
      <c r="A190" t="s">
        <v>259</v>
      </c>
      <c r="B190" s="1" t="str">
        <f>"12008727"</f>
        <v>12008727</v>
      </c>
      <c r="C190" t="s">
        <v>209</v>
      </c>
      <c r="D190" t="s">
        <v>289</v>
      </c>
      <c r="E190" s="2"/>
      <c r="F190" t="s">
        <v>79</v>
      </c>
      <c r="G190" t="s">
        <v>80</v>
      </c>
      <c r="H190" t="s">
        <v>80</v>
      </c>
      <c r="I190"/>
    </row>
    <row r="191" spans="1:9">
      <c r="A191" t="s">
        <v>259</v>
      </c>
      <c r="B191" s="1" t="str">
        <f>"12008719"</f>
        <v>12008719</v>
      </c>
      <c r="C191" t="s">
        <v>209</v>
      </c>
      <c r="D191" t="s">
        <v>290</v>
      </c>
      <c r="E191" s="2"/>
      <c r="F191" t="s">
        <v>79</v>
      </c>
      <c r="G191" t="s">
        <v>80</v>
      </c>
      <c r="H191" t="s">
        <v>80</v>
      </c>
      <c r="I191"/>
    </row>
    <row r="192" spans="1:9">
      <c r="A192" t="s">
        <v>259</v>
      </c>
      <c r="B192" s="1" t="str">
        <f>"20622246"</f>
        <v>20622246</v>
      </c>
      <c r="C192" t="s">
        <v>209</v>
      </c>
      <c r="D192" t="s">
        <v>291</v>
      </c>
      <c r="E192" s="2"/>
      <c r="F192" t="s">
        <v>22</v>
      </c>
      <c r="G192" t="s">
        <v>75</v>
      </c>
      <c r="H192" t="s">
        <v>58</v>
      </c>
      <c r="I192"/>
    </row>
    <row r="193" spans="1:9">
      <c r="A193" t="s">
        <v>259</v>
      </c>
      <c r="B193" s="1" t="str">
        <f>"20676469"</f>
        <v>20676469</v>
      </c>
      <c r="C193" t="s">
        <v>209</v>
      </c>
      <c r="D193" t="s">
        <v>292</v>
      </c>
      <c r="E193" s="2"/>
      <c r="F193" t="s">
        <v>22</v>
      </c>
      <c r="G193" t="s">
        <v>19</v>
      </c>
      <c r="H193" t="s">
        <v>58</v>
      </c>
      <c r="I193"/>
    </row>
    <row r="194" spans="1:9">
      <c r="A194" t="s">
        <v>259</v>
      </c>
      <c r="B194" s="1" t="str">
        <f>"20622245"</f>
        <v>20622245</v>
      </c>
      <c r="C194" t="s">
        <v>209</v>
      </c>
      <c r="D194" t="s">
        <v>293</v>
      </c>
      <c r="E194" s="2"/>
      <c r="F194" t="s">
        <v>22</v>
      </c>
      <c r="G194" t="s">
        <v>75</v>
      </c>
      <c r="H194" t="s">
        <v>58</v>
      </c>
      <c r="I194"/>
    </row>
    <row r="195" spans="1:9">
      <c r="A195" t="s">
        <v>259</v>
      </c>
      <c r="B195" s="1" t="str">
        <f>"20792008"</f>
        <v>20792008</v>
      </c>
      <c r="C195" t="s">
        <v>225</v>
      </c>
      <c r="D195" t="s">
        <v>60</v>
      </c>
      <c r="E195" s="2"/>
      <c r="F195" t="s">
        <v>22</v>
      </c>
      <c r="G195" t="s">
        <v>13</v>
      </c>
      <c r="H195" t="s">
        <v>287</v>
      </c>
      <c r="I195"/>
    </row>
    <row r="196" spans="1:9">
      <c r="A196" t="s">
        <v>259</v>
      </c>
      <c r="B196" s="1" t="str">
        <f>"20135911"</f>
        <v>20135911</v>
      </c>
      <c r="C196" t="s">
        <v>225</v>
      </c>
      <c r="D196" t="s">
        <v>294</v>
      </c>
      <c r="E196" s="2"/>
      <c r="F196" t="s">
        <v>295</v>
      </c>
      <c r="G196" t="s">
        <v>296</v>
      </c>
      <c r="H196" t="s">
        <v>296</v>
      </c>
      <c r="I196"/>
    </row>
    <row r="197" spans="1:9">
      <c r="A197" t="s">
        <v>259</v>
      </c>
      <c r="B197" s="1" t="str">
        <f>"20635893"</f>
        <v>20635893</v>
      </c>
      <c r="C197" t="s">
        <v>225</v>
      </c>
      <c r="D197" t="s">
        <v>297</v>
      </c>
      <c r="E197" s="2"/>
      <c r="F197" t="s">
        <v>50</v>
      </c>
      <c r="G197" t="s">
        <v>75</v>
      </c>
      <c r="H197" t="s">
        <v>75</v>
      </c>
      <c r="I197"/>
    </row>
    <row r="198" spans="1:9">
      <c r="A198" t="s">
        <v>259</v>
      </c>
      <c r="B198" s="1" t="str">
        <f>"20040178"</f>
        <v>20040178</v>
      </c>
      <c r="C198" t="s">
        <v>225</v>
      </c>
      <c r="D198" t="s">
        <v>298</v>
      </c>
      <c r="E198" s="2"/>
      <c r="F198" t="s">
        <v>22</v>
      </c>
      <c r="G198" t="s">
        <v>299</v>
      </c>
      <c r="H198" t="s">
        <v>299</v>
      </c>
      <c r="I198"/>
    </row>
    <row r="199" spans="1:9">
      <c r="A199" t="s">
        <v>259</v>
      </c>
      <c r="B199" s="1" t="str">
        <f>"20845592"</f>
        <v>20845592</v>
      </c>
      <c r="C199" t="s">
        <v>225</v>
      </c>
      <c r="D199" t="s">
        <v>300</v>
      </c>
      <c r="E199" s="2"/>
      <c r="F199" t="s">
        <v>22</v>
      </c>
      <c r="G199" t="s">
        <v>299</v>
      </c>
      <c r="H199" t="s">
        <v>299</v>
      </c>
      <c r="I199"/>
    </row>
    <row r="200" spans="1:9">
      <c r="A200" t="s">
        <v>259</v>
      </c>
      <c r="B200" s="1" t="str">
        <f>"20792015"</f>
        <v>20792015</v>
      </c>
      <c r="C200" t="s">
        <v>225</v>
      </c>
      <c r="D200" t="s">
        <v>301</v>
      </c>
      <c r="E200" s="2"/>
      <c r="F200" t="s">
        <v>50</v>
      </c>
      <c r="G200" t="s">
        <v>19</v>
      </c>
      <c r="H200" t="s">
        <v>19</v>
      </c>
      <c r="I200"/>
    </row>
    <row r="201" spans="1:9">
      <c r="A201" t="s">
        <v>259</v>
      </c>
      <c r="B201" s="1" t="str">
        <f>"23984718"</f>
        <v>23984718</v>
      </c>
      <c r="C201" t="s">
        <v>225</v>
      </c>
      <c r="D201" t="s">
        <v>302</v>
      </c>
      <c r="E201" s="2"/>
      <c r="F201" t="s">
        <v>50</v>
      </c>
      <c r="G201" t="s">
        <v>75</v>
      </c>
      <c r="H201" t="s">
        <v>75</v>
      </c>
      <c r="I201"/>
    </row>
    <row r="202" spans="1:9">
      <c r="A202" t="s">
        <v>259</v>
      </c>
      <c r="B202" s="1" t="str">
        <f>"20635909"</f>
        <v>20635909</v>
      </c>
      <c r="C202" t="s">
        <v>225</v>
      </c>
      <c r="D202" t="s">
        <v>303</v>
      </c>
      <c r="E202" s="2"/>
      <c r="F202" t="s">
        <v>50</v>
      </c>
      <c r="G202" t="s">
        <v>75</v>
      </c>
      <c r="H202" t="s">
        <v>75</v>
      </c>
      <c r="I202"/>
    </row>
    <row r="203" spans="1:9">
      <c r="A203" t="s">
        <v>259</v>
      </c>
      <c r="B203" s="1" t="str">
        <f>"20135904"</f>
        <v>20135904</v>
      </c>
      <c r="C203" t="s">
        <v>225</v>
      </c>
      <c r="D203" t="s">
        <v>304</v>
      </c>
      <c r="E203" s="2"/>
      <c r="F203" t="s">
        <v>52</v>
      </c>
      <c r="G203" t="s">
        <v>75</v>
      </c>
      <c r="H203" t="s">
        <v>75</v>
      </c>
      <c r="I203"/>
    </row>
    <row r="204" spans="1:9">
      <c r="A204" t="s">
        <v>259</v>
      </c>
      <c r="B204" s="1" t="str">
        <f>"20037321"</f>
        <v>20037321</v>
      </c>
      <c r="C204" t="s">
        <v>305</v>
      </c>
      <c r="D204" t="s">
        <v>306</v>
      </c>
      <c r="E204" s="2"/>
      <c r="F204" t="s">
        <v>90</v>
      </c>
      <c r="G204" t="s">
        <v>19</v>
      </c>
      <c r="H204" t="s">
        <v>19</v>
      </c>
      <c r="I204"/>
    </row>
    <row r="205" spans="1:9">
      <c r="A205" t="s">
        <v>259</v>
      </c>
      <c r="B205" s="1" t="str">
        <f>"20093433"</f>
        <v>20093433</v>
      </c>
      <c r="C205" t="s">
        <v>305</v>
      </c>
      <c r="D205" t="s">
        <v>307</v>
      </c>
      <c r="E205" s="2"/>
      <c r="F205" t="s">
        <v>22</v>
      </c>
      <c r="G205" t="s">
        <v>58</v>
      </c>
      <c r="H205" t="s">
        <v>58</v>
      </c>
      <c r="I205"/>
    </row>
    <row r="206" spans="1:9">
      <c r="A206" t="s">
        <v>259</v>
      </c>
      <c r="B206" s="1" t="str">
        <f>"20212809"</f>
        <v>20212809</v>
      </c>
      <c r="C206" t="s">
        <v>305</v>
      </c>
      <c r="D206" t="s">
        <v>308</v>
      </c>
      <c r="E206" s="2"/>
      <c r="F206" t="s">
        <v>264</v>
      </c>
      <c r="G206"/>
      <c r="H206" t="s">
        <v>309</v>
      </c>
      <c r="I206"/>
    </row>
    <row r="207" spans="1:9">
      <c r="A207" t="s">
        <v>259</v>
      </c>
      <c r="B207" s="1" t="str">
        <f>"20037307"</f>
        <v>20037307</v>
      </c>
      <c r="C207" t="s">
        <v>305</v>
      </c>
      <c r="D207" t="s">
        <v>112</v>
      </c>
      <c r="E207" s="2"/>
      <c r="F207" t="s">
        <v>22</v>
      </c>
      <c r="G207" t="s">
        <v>299</v>
      </c>
      <c r="H207" t="s">
        <v>299</v>
      </c>
      <c r="I207"/>
    </row>
    <row r="208" spans="1:9">
      <c r="A208" t="s">
        <v>259</v>
      </c>
      <c r="B208" s="1" t="str">
        <f>"20037307.2"</f>
        <v>20037307.2</v>
      </c>
      <c r="C208" t="s">
        <v>305</v>
      </c>
      <c r="D208" t="s">
        <v>112</v>
      </c>
      <c r="E208" s="2"/>
      <c r="F208" t="s">
        <v>22</v>
      </c>
      <c r="G208" t="s">
        <v>299</v>
      </c>
      <c r="H208" t="s">
        <v>218</v>
      </c>
      <c r="I208"/>
    </row>
    <row r="209" spans="1:9">
      <c r="A209" t="s">
        <v>259</v>
      </c>
      <c r="B209" s="1" t="str">
        <f>"20037314"</f>
        <v>20037314</v>
      </c>
      <c r="C209" t="s">
        <v>305</v>
      </c>
      <c r="D209" t="s">
        <v>310</v>
      </c>
      <c r="E209" s="2"/>
      <c r="F209" t="s">
        <v>22</v>
      </c>
      <c r="G209" t="s">
        <v>82</v>
      </c>
      <c r="H209" t="s">
        <v>82</v>
      </c>
      <c r="I209"/>
    </row>
    <row r="210" spans="1:9">
      <c r="A210" t="s">
        <v>259</v>
      </c>
      <c r="B210" s="1" t="str">
        <f>"20037314.2"</f>
        <v>20037314.2</v>
      </c>
      <c r="C210" t="s">
        <v>305</v>
      </c>
      <c r="D210" t="s">
        <v>310</v>
      </c>
      <c r="E210" s="2"/>
      <c r="F210" t="s">
        <v>22</v>
      </c>
      <c r="G210" t="s">
        <v>82</v>
      </c>
      <c r="H210" t="s">
        <v>218</v>
      </c>
      <c r="I210"/>
    </row>
    <row r="211" spans="1:9">
      <c r="A211" t="s">
        <v>259</v>
      </c>
      <c r="B211" s="1" t="str">
        <f>"20093334"</f>
        <v>20093334</v>
      </c>
      <c r="C211" t="s">
        <v>305</v>
      </c>
      <c r="D211" t="s">
        <v>311</v>
      </c>
      <c r="E211" s="2"/>
      <c r="F211" t="s">
        <v>90</v>
      </c>
      <c r="G211" t="s">
        <v>19</v>
      </c>
      <c r="H211" t="s">
        <v>19</v>
      </c>
      <c r="I211"/>
    </row>
    <row r="212" spans="1:9">
      <c r="A212" t="s">
        <v>259</v>
      </c>
      <c r="B212" s="1" t="str">
        <f>"20037284"</f>
        <v>20037284</v>
      </c>
      <c r="C212" t="s">
        <v>305</v>
      </c>
      <c r="D212" t="s">
        <v>312</v>
      </c>
      <c r="E212" s="2"/>
      <c r="F212" t="s">
        <v>90</v>
      </c>
      <c r="G212" t="s">
        <v>19</v>
      </c>
      <c r="H212" t="s">
        <v>19</v>
      </c>
      <c r="I212"/>
    </row>
    <row r="213" spans="1:9">
      <c r="A213" t="s">
        <v>259</v>
      </c>
      <c r="B213" s="1" t="str">
        <f>"20010683"</f>
        <v>20010683</v>
      </c>
      <c r="C213" t="s">
        <v>305</v>
      </c>
      <c r="D213" t="s">
        <v>313</v>
      </c>
      <c r="E213" s="2"/>
      <c r="F213" t="s">
        <v>22</v>
      </c>
      <c r="G213" t="s">
        <v>58</v>
      </c>
      <c r="H213" t="s">
        <v>58</v>
      </c>
      <c r="I213"/>
    </row>
    <row r="214" spans="1:9">
      <c r="A214" t="s">
        <v>259</v>
      </c>
      <c r="B214" s="1" t="str">
        <f>"20010684"</f>
        <v>20010684</v>
      </c>
      <c r="C214" t="s">
        <v>305</v>
      </c>
      <c r="D214" t="s">
        <v>314</v>
      </c>
      <c r="E214" s="2"/>
      <c r="F214" t="s">
        <v>22</v>
      </c>
      <c r="G214" t="s">
        <v>58</v>
      </c>
      <c r="H214" t="s">
        <v>58</v>
      </c>
      <c r="I214"/>
    </row>
    <row r="215" spans="1:9">
      <c r="A215" t="s">
        <v>259</v>
      </c>
      <c r="B215" s="1" t="str">
        <f>"20010685"</f>
        <v>20010685</v>
      </c>
      <c r="C215" t="s">
        <v>305</v>
      </c>
      <c r="D215" t="s">
        <v>315</v>
      </c>
      <c r="E215" s="2"/>
      <c r="F215" t="s">
        <v>22</v>
      </c>
      <c r="G215" t="s">
        <v>58</v>
      </c>
      <c r="H215" t="s">
        <v>58</v>
      </c>
      <c r="I215"/>
    </row>
    <row r="216" spans="1:9">
      <c r="A216" t="s">
        <v>259</v>
      </c>
      <c r="B216" s="1" t="str">
        <f>"20255138"</f>
        <v>20255138</v>
      </c>
      <c r="C216" t="s">
        <v>305</v>
      </c>
      <c r="D216" t="s">
        <v>316</v>
      </c>
      <c r="E216" s="2"/>
      <c r="F216" t="s">
        <v>61</v>
      </c>
      <c r="G216" t="s">
        <v>80</v>
      </c>
      <c r="H216" t="s">
        <v>80</v>
      </c>
      <c r="I216"/>
    </row>
    <row r="217" spans="1:9">
      <c r="A217" t="s">
        <v>259</v>
      </c>
      <c r="B217" s="1" t="str">
        <f>"20255138.2"</f>
        <v>20255138.2</v>
      </c>
      <c r="C217" t="s">
        <v>305</v>
      </c>
      <c r="D217" t="s">
        <v>316</v>
      </c>
      <c r="E217" s="2"/>
      <c r="F217" t="s">
        <v>61</v>
      </c>
      <c r="G217" t="s">
        <v>80</v>
      </c>
      <c r="H217" t="s">
        <v>218</v>
      </c>
      <c r="I217"/>
    </row>
    <row r="218" spans="1:9">
      <c r="A218" t="s">
        <v>259</v>
      </c>
      <c r="B218" s="1" t="str">
        <f>"20180409"</f>
        <v>20180409</v>
      </c>
      <c r="C218" t="s">
        <v>305</v>
      </c>
      <c r="D218" t="s">
        <v>317</v>
      </c>
      <c r="E218" s="2"/>
      <c r="F218" t="s">
        <v>22</v>
      </c>
      <c r="G218" t="s">
        <v>58</v>
      </c>
      <c r="H218" t="s">
        <v>58</v>
      </c>
      <c r="I218"/>
    </row>
    <row r="219" spans="1:9">
      <c r="A219" t="s">
        <v>259</v>
      </c>
      <c r="B219" s="1" t="str">
        <f>"20136536"</f>
        <v>20136536</v>
      </c>
      <c r="C219" t="s">
        <v>305</v>
      </c>
      <c r="D219" t="s">
        <v>318</v>
      </c>
      <c r="E219" s="2"/>
      <c r="F219" t="s">
        <v>278</v>
      </c>
      <c r="G219" t="s">
        <v>19</v>
      </c>
      <c r="H219" t="s">
        <v>19</v>
      </c>
      <c r="I219"/>
    </row>
    <row r="220" spans="1:9">
      <c r="A220" t="s">
        <v>259</v>
      </c>
      <c r="B220" s="1" t="str">
        <f>"20200005"</f>
        <v>20200005</v>
      </c>
      <c r="C220" t="s">
        <v>305</v>
      </c>
      <c r="D220" t="s">
        <v>319</v>
      </c>
      <c r="E220" s="2"/>
      <c r="F220" t="s">
        <v>278</v>
      </c>
      <c r="G220" t="s">
        <v>19</v>
      </c>
      <c r="H220" t="s">
        <v>19</v>
      </c>
      <c r="I220"/>
    </row>
    <row r="221" spans="1:9">
      <c r="A221" t="s">
        <v>259</v>
      </c>
      <c r="B221" s="1" t="str">
        <f>"20196707"</f>
        <v>20196707</v>
      </c>
      <c r="C221" t="s">
        <v>320</v>
      </c>
      <c r="D221" t="s">
        <v>321</v>
      </c>
      <c r="E221" s="2"/>
      <c r="F221" t="s">
        <v>61</v>
      </c>
      <c r="G221" t="s">
        <v>322</v>
      </c>
      <c r="H221" t="s">
        <v>322</v>
      </c>
      <c r="I221"/>
    </row>
    <row r="222" spans="1:9">
      <c r="A222" t="s">
        <v>259</v>
      </c>
      <c r="B222" s="1" t="str">
        <f>"20196707.2"</f>
        <v>20196707.2</v>
      </c>
      <c r="C222" t="s">
        <v>320</v>
      </c>
      <c r="D222" t="s">
        <v>321</v>
      </c>
      <c r="E222" s="2"/>
      <c r="F222" t="s">
        <v>61</v>
      </c>
      <c r="G222" t="s">
        <v>322</v>
      </c>
      <c r="H222" t="s">
        <v>218</v>
      </c>
      <c r="I222"/>
    </row>
    <row r="223" spans="1:9">
      <c r="A223" t="s">
        <v>259</v>
      </c>
      <c r="B223" s="1" t="str">
        <f>"20035589"</f>
        <v>20035589</v>
      </c>
      <c r="C223" t="s">
        <v>320</v>
      </c>
      <c r="D223" t="s">
        <v>323</v>
      </c>
      <c r="E223" s="2"/>
      <c r="F223" t="s">
        <v>324</v>
      </c>
      <c r="G223" t="s">
        <v>309</v>
      </c>
      <c r="H223" t="s">
        <v>309</v>
      </c>
      <c r="I223"/>
    </row>
    <row r="224" spans="1:9">
      <c r="A224" t="s">
        <v>259</v>
      </c>
      <c r="B224" s="1" t="str">
        <f>"20086848"</f>
        <v>20086848</v>
      </c>
      <c r="C224" t="s">
        <v>320</v>
      </c>
      <c r="D224" t="s">
        <v>325</v>
      </c>
      <c r="E224" s="2"/>
      <c r="F224" t="s">
        <v>124</v>
      </c>
      <c r="G224" t="s">
        <v>80</v>
      </c>
      <c r="H224" t="s">
        <v>58</v>
      </c>
      <c r="I224"/>
    </row>
    <row r="225" spans="1:9">
      <c r="A225" t="s">
        <v>326</v>
      </c>
      <c r="B225" s="1" t="str">
        <f>"12009907"</f>
        <v>12009907</v>
      </c>
      <c r="D225" t="s">
        <v>327</v>
      </c>
      <c r="E225" s="2"/>
      <c r="F225" t="s">
        <v>328</v>
      </c>
      <c r="G225" t="s">
        <v>329</v>
      </c>
      <c r="H225" t="s">
        <v>329</v>
      </c>
      <c r="I225"/>
    </row>
    <row r="226" spans="1:9">
      <c r="A226" t="s">
        <v>326</v>
      </c>
      <c r="B226" s="1" t="str">
        <f>"12009912"</f>
        <v>12009912</v>
      </c>
      <c r="C226" t="s">
        <v>260</v>
      </c>
      <c r="D226" t="s">
        <v>330</v>
      </c>
      <c r="E226" s="2"/>
      <c r="F226" t="s">
        <v>331</v>
      </c>
      <c r="G226" t="s">
        <v>25</v>
      </c>
      <c r="H226" t="s">
        <v>332</v>
      </c>
      <c r="I226"/>
    </row>
    <row r="227" spans="1:9">
      <c r="A227" t="s">
        <v>326</v>
      </c>
      <c r="B227" s="1" t="str">
        <f>"12009911"</f>
        <v>12009911</v>
      </c>
      <c r="C227" t="s">
        <v>260</v>
      </c>
      <c r="D227" t="s">
        <v>333</v>
      </c>
      <c r="E227" s="2"/>
      <c r="F227" t="s">
        <v>328</v>
      </c>
      <c r="G227" t="s">
        <v>329</v>
      </c>
      <c r="H227" t="s">
        <v>329</v>
      </c>
      <c r="I227"/>
    </row>
    <row r="228" spans="1:9">
      <c r="A228" t="s">
        <v>326</v>
      </c>
      <c r="B228" s="1" t="str">
        <f>"20043957"</f>
        <v>20043957</v>
      </c>
      <c r="C228" t="s">
        <v>334</v>
      </c>
      <c r="D228" t="s">
        <v>335</v>
      </c>
      <c r="E228" s="2"/>
      <c r="F228" t="s">
        <v>336</v>
      </c>
      <c r="G228" t="s">
        <v>337</v>
      </c>
      <c r="H228" t="s">
        <v>337</v>
      </c>
      <c r="I228"/>
    </row>
    <row r="229" spans="1:9">
      <c r="A229" t="s">
        <v>326</v>
      </c>
      <c r="B229" s="1" t="str">
        <f>"20043957.2"</f>
        <v>20043957.2</v>
      </c>
      <c r="C229" t="s">
        <v>334</v>
      </c>
      <c r="D229" t="s">
        <v>335</v>
      </c>
      <c r="E229" s="2"/>
      <c r="F229" t="s">
        <v>336</v>
      </c>
      <c r="G229" t="s">
        <v>337</v>
      </c>
      <c r="H229" t="s">
        <v>332</v>
      </c>
      <c r="I229"/>
    </row>
    <row r="230" spans="1:9">
      <c r="A230" t="s">
        <v>326</v>
      </c>
      <c r="B230" s="1" t="str">
        <f>"27561513"</f>
        <v>27561513</v>
      </c>
      <c r="C230" t="s">
        <v>225</v>
      </c>
      <c r="D230" t="s">
        <v>338</v>
      </c>
      <c r="E230" s="2"/>
      <c r="F230" t="s">
        <v>66</v>
      </c>
      <c r="G230" t="s">
        <v>25</v>
      </c>
      <c r="H230" t="s">
        <v>25</v>
      </c>
      <c r="I230"/>
    </row>
    <row r="231" spans="1:9">
      <c r="A231" t="s">
        <v>326</v>
      </c>
      <c r="B231" s="1" t="str">
        <f>"20086015"</f>
        <v>20086015</v>
      </c>
      <c r="C231" t="s">
        <v>225</v>
      </c>
      <c r="D231" t="s">
        <v>339</v>
      </c>
      <c r="E231" s="2"/>
      <c r="F231" t="s">
        <v>12</v>
      </c>
      <c r="G231" t="s">
        <v>337</v>
      </c>
      <c r="H231" t="s">
        <v>337</v>
      </c>
      <c r="I231"/>
    </row>
    <row r="232" spans="1:9">
      <c r="A232" t="s">
        <v>326</v>
      </c>
      <c r="B232" s="1" t="str">
        <f>"20086824"</f>
        <v>20086824</v>
      </c>
      <c r="C232" t="s">
        <v>225</v>
      </c>
      <c r="D232" t="s">
        <v>340</v>
      </c>
      <c r="E232" s="2"/>
      <c r="F232" t="s">
        <v>12</v>
      </c>
      <c r="G232" t="s">
        <v>337</v>
      </c>
      <c r="H232" t="s">
        <v>337</v>
      </c>
      <c r="I232"/>
    </row>
    <row r="233" spans="1:9">
      <c r="A233" t="s">
        <v>326</v>
      </c>
      <c r="B233" s="1" t="str">
        <f>"20290429"</f>
        <v>20290429</v>
      </c>
      <c r="C233" t="s">
        <v>341</v>
      </c>
      <c r="D233" t="s">
        <v>342</v>
      </c>
      <c r="E233" s="2"/>
      <c r="F233" t="s">
        <v>27</v>
      </c>
      <c r="G233" t="s">
        <v>25</v>
      </c>
      <c r="H233" t="s">
        <v>25</v>
      </c>
      <c r="I233"/>
    </row>
    <row r="234" spans="1:9">
      <c r="A234" t="s">
        <v>326</v>
      </c>
      <c r="B234" s="1" t="str">
        <f>"20290429.2"</f>
        <v>20290429.2</v>
      </c>
      <c r="C234" t="s">
        <v>341</v>
      </c>
      <c r="D234" t="s">
        <v>342</v>
      </c>
      <c r="E234" s="2"/>
      <c r="F234" t="s">
        <v>27</v>
      </c>
      <c r="G234" t="s">
        <v>25</v>
      </c>
      <c r="H234" t="s">
        <v>332</v>
      </c>
      <c r="I234"/>
    </row>
    <row r="235" spans="1:9">
      <c r="A235" t="s">
        <v>326</v>
      </c>
      <c r="B235" s="1" t="str">
        <f>"20050658"</f>
        <v>20050658</v>
      </c>
      <c r="C235" t="s">
        <v>343</v>
      </c>
      <c r="D235" t="s">
        <v>34</v>
      </c>
      <c r="E235" s="2"/>
      <c r="F235" t="s">
        <v>336</v>
      </c>
      <c r="G235" t="s">
        <v>25</v>
      </c>
      <c r="H235" t="s">
        <v>25</v>
      </c>
      <c r="I235"/>
    </row>
    <row r="236" spans="1:9">
      <c r="A236" t="s">
        <v>326</v>
      </c>
      <c r="B236" s="1" t="str">
        <f>"20050658.2"</f>
        <v>20050658.2</v>
      </c>
      <c r="C236" t="s">
        <v>343</v>
      </c>
      <c r="D236" t="s">
        <v>34</v>
      </c>
      <c r="E236" s="2"/>
      <c r="F236" t="s">
        <v>336</v>
      </c>
      <c r="G236" t="s">
        <v>25</v>
      </c>
      <c r="H236" t="s">
        <v>332</v>
      </c>
      <c r="I236"/>
    </row>
    <row r="237" spans="1:9">
      <c r="A237" t="s">
        <v>326</v>
      </c>
      <c r="B237" s="1" t="str">
        <f>"20014131"</f>
        <v>20014131</v>
      </c>
      <c r="C237" t="s">
        <v>343</v>
      </c>
      <c r="D237" t="s">
        <v>344</v>
      </c>
      <c r="E237" s="2"/>
      <c r="F237" t="s">
        <v>66</v>
      </c>
      <c r="G237" t="s">
        <v>25</v>
      </c>
      <c r="H237" t="s">
        <v>25</v>
      </c>
      <c r="I237"/>
    </row>
    <row r="238" spans="1:9">
      <c r="A238" t="s">
        <v>326</v>
      </c>
      <c r="B238" s="1" t="str">
        <f>"20014131.2"</f>
        <v>20014131.2</v>
      </c>
      <c r="C238" t="s">
        <v>343</v>
      </c>
      <c r="D238" t="s">
        <v>344</v>
      </c>
      <c r="E238" s="2"/>
      <c r="F238" t="s">
        <v>66</v>
      </c>
      <c r="G238" t="s">
        <v>25</v>
      </c>
      <c r="H238" t="s">
        <v>332</v>
      </c>
      <c r="I238"/>
    </row>
    <row r="239" spans="1:9">
      <c r="A239" t="s">
        <v>326</v>
      </c>
      <c r="B239" s="1" t="str">
        <f>"20016522"</f>
        <v>20016522</v>
      </c>
      <c r="C239" t="s">
        <v>343</v>
      </c>
      <c r="D239" t="s">
        <v>345</v>
      </c>
      <c r="E239" s="2"/>
      <c r="F239" t="s">
        <v>66</v>
      </c>
      <c r="G239" t="s">
        <v>346</v>
      </c>
      <c r="H239" t="s">
        <v>346</v>
      </c>
      <c r="I239"/>
    </row>
    <row r="240" spans="1:9">
      <c r="A240" t="s">
        <v>326</v>
      </c>
      <c r="B240" s="1" t="str">
        <f>"20016522.2"</f>
        <v>20016522.2</v>
      </c>
      <c r="C240" t="s">
        <v>343</v>
      </c>
      <c r="D240" t="s">
        <v>345</v>
      </c>
      <c r="E240" s="2"/>
      <c r="F240" t="s">
        <v>66</v>
      </c>
      <c r="G240" t="s">
        <v>346</v>
      </c>
      <c r="H240" t="s">
        <v>332</v>
      </c>
      <c r="I240"/>
    </row>
    <row r="241" spans="1:9">
      <c r="A241" t="s">
        <v>326</v>
      </c>
      <c r="B241" s="1" t="str">
        <f>"20014353"</f>
        <v>20014353</v>
      </c>
      <c r="C241" t="s">
        <v>343</v>
      </c>
      <c r="D241" t="s">
        <v>347</v>
      </c>
      <c r="E241" s="2"/>
      <c r="F241" t="s">
        <v>336</v>
      </c>
      <c r="G241" t="s">
        <v>29</v>
      </c>
      <c r="H241" t="s">
        <v>29</v>
      </c>
      <c r="I241"/>
    </row>
    <row r="242" spans="1:9">
      <c r="A242" t="s">
        <v>326</v>
      </c>
      <c r="B242" s="1" t="str">
        <f>"20014353.2"</f>
        <v>20014353.2</v>
      </c>
      <c r="C242" t="s">
        <v>343</v>
      </c>
      <c r="D242" t="s">
        <v>347</v>
      </c>
      <c r="E242" s="2"/>
      <c r="F242" t="s">
        <v>336</v>
      </c>
      <c r="G242" t="s">
        <v>29</v>
      </c>
      <c r="H242" t="s">
        <v>332</v>
      </c>
      <c r="I242"/>
    </row>
    <row r="243" spans="1:9">
      <c r="A243" t="s">
        <v>326</v>
      </c>
      <c r="B243" s="1" t="str">
        <f>"20065737"</f>
        <v>20065737</v>
      </c>
      <c r="C243" t="s">
        <v>343</v>
      </c>
      <c r="D243" t="s">
        <v>348</v>
      </c>
      <c r="E243" s="2"/>
      <c r="F243" t="s">
        <v>336</v>
      </c>
      <c r="G243" t="s">
        <v>29</v>
      </c>
      <c r="H243" t="s">
        <v>29</v>
      </c>
      <c r="I243"/>
    </row>
    <row r="244" spans="1:9">
      <c r="A244" t="s">
        <v>326</v>
      </c>
      <c r="B244" s="1" t="str">
        <f>"20065737.2"</f>
        <v>20065737.2</v>
      </c>
      <c r="C244" t="s">
        <v>343</v>
      </c>
      <c r="D244" t="s">
        <v>348</v>
      </c>
      <c r="E244" s="2"/>
      <c r="F244" t="s">
        <v>336</v>
      </c>
      <c r="G244" t="s">
        <v>29</v>
      </c>
      <c r="H244" t="s">
        <v>332</v>
      </c>
      <c r="I244"/>
    </row>
    <row r="245" spans="1:9">
      <c r="A245" t="s">
        <v>326</v>
      </c>
      <c r="B245" s="1" t="str">
        <f>"20096656"</f>
        <v>20096656</v>
      </c>
      <c r="C245" t="s">
        <v>343</v>
      </c>
      <c r="D245" t="s">
        <v>349</v>
      </c>
      <c r="E245" s="2"/>
      <c r="F245" t="s">
        <v>336</v>
      </c>
      <c r="G245" t="s">
        <v>29</v>
      </c>
      <c r="H245" t="s">
        <v>29</v>
      </c>
      <c r="I245"/>
    </row>
    <row r="246" spans="1:9">
      <c r="A246" t="s">
        <v>326</v>
      </c>
      <c r="B246" s="1" t="str">
        <f>"20096656.2"</f>
        <v>20096656.2</v>
      </c>
      <c r="C246" t="s">
        <v>343</v>
      </c>
      <c r="D246" t="s">
        <v>349</v>
      </c>
      <c r="E246" s="2"/>
      <c r="F246" t="s">
        <v>336</v>
      </c>
      <c r="G246" t="s">
        <v>29</v>
      </c>
      <c r="H246" t="s">
        <v>332</v>
      </c>
      <c r="I246"/>
    </row>
    <row r="247" spans="1:9">
      <c r="A247" t="s">
        <v>326</v>
      </c>
      <c r="B247" s="1" t="str">
        <f>"20065393"</f>
        <v>20065393</v>
      </c>
      <c r="C247" t="s">
        <v>343</v>
      </c>
      <c r="D247" t="s">
        <v>335</v>
      </c>
      <c r="E247" s="2"/>
      <c r="F247" t="s">
        <v>336</v>
      </c>
      <c r="G247" t="s">
        <v>29</v>
      </c>
      <c r="H247" t="s">
        <v>29</v>
      </c>
      <c r="I247"/>
    </row>
    <row r="248" spans="1:9">
      <c r="A248" t="s">
        <v>326</v>
      </c>
      <c r="B248" s="1" t="str">
        <f>"20065393.2"</f>
        <v>20065393.2</v>
      </c>
      <c r="C248" t="s">
        <v>343</v>
      </c>
      <c r="D248" t="s">
        <v>335</v>
      </c>
      <c r="E248" s="2"/>
      <c r="F248" t="s">
        <v>336</v>
      </c>
      <c r="G248" t="s">
        <v>29</v>
      </c>
      <c r="H248" t="s">
        <v>332</v>
      </c>
      <c r="I248"/>
    </row>
    <row r="249" spans="1:9">
      <c r="A249" t="s">
        <v>326</v>
      </c>
      <c r="B249" s="1" t="str">
        <f>"12009913"</f>
        <v>12009913</v>
      </c>
      <c r="C249"/>
      <c r="D249" t="s">
        <v>350</v>
      </c>
      <c r="E249" s="2"/>
      <c r="F249" t="s">
        <v>331</v>
      </c>
      <c r="G249" t="s">
        <v>25</v>
      </c>
      <c r="H249" t="s">
        <v>332</v>
      </c>
      <c r="I249"/>
    </row>
    <row r="250" spans="1:9">
      <c r="A250" t="s">
        <v>326</v>
      </c>
      <c r="B250" s="1" t="str">
        <f>"12009922"</f>
        <v>12009922</v>
      </c>
      <c r="C250"/>
      <c r="D250" t="s">
        <v>351</v>
      </c>
      <c r="E250" s="2"/>
      <c r="F250" t="s">
        <v>331</v>
      </c>
      <c r="G250" t="s">
        <v>352</v>
      </c>
      <c r="H250" t="s">
        <v>329</v>
      </c>
      <c r="I250"/>
    </row>
    <row r="251" spans="1:9">
      <c r="A251" t="s">
        <v>326</v>
      </c>
      <c r="B251" s="1" t="str">
        <f>"20066741"</f>
        <v>20066741</v>
      </c>
      <c r="C251" t="s">
        <v>353</v>
      </c>
      <c r="D251" t="s">
        <v>354</v>
      </c>
      <c r="E251" s="2"/>
      <c r="F251" t="s">
        <v>105</v>
      </c>
      <c r="G251" t="s">
        <v>29</v>
      </c>
      <c r="H251" t="s">
        <v>29</v>
      </c>
      <c r="I251"/>
    </row>
    <row r="252" spans="1:9">
      <c r="A252" t="s">
        <v>326</v>
      </c>
      <c r="B252" s="1" t="str">
        <f>"20066741.2"</f>
        <v>20066741.2</v>
      </c>
      <c r="C252" t="s">
        <v>353</v>
      </c>
      <c r="D252" t="s">
        <v>354</v>
      </c>
      <c r="E252" s="2"/>
      <c r="F252" t="s">
        <v>105</v>
      </c>
      <c r="G252" t="s">
        <v>29</v>
      </c>
      <c r="H252" t="s">
        <v>332</v>
      </c>
      <c r="I252"/>
    </row>
    <row r="253" spans="1:9">
      <c r="A253" t="s">
        <v>355</v>
      </c>
      <c r="B253" s="1" t="str">
        <f>"12597784"</f>
        <v>12597784</v>
      </c>
      <c r="C253" t="s">
        <v>260</v>
      </c>
      <c r="D253" t="s">
        <v>356</v>
      </c>
      <c r="E253" s="2"/>
      <c r="F253" t="s">
        <v>27</v>
      </c>
      <c r="G253" t="s">
        <v>29</v>
      </c>
      <c r="H253" t="s">
        <v>29</v>
      </c>
      <c r="I253"/>
    </row>
    <row r="254" spans="1:9">
      <c r="A254" t="s">
        <v>355</v>
      </c>
      <c r="B254" s="1" t="str">
        <f>"20190036"</f>
        <v>20190036</v>
      </c>
      <c r="C254" t="s">
        <v>10</v>
      </c>
      <c r="D254" t="s">
        <v>357</v>
      </c>
      <c r="E254" s="2"/>
      <c r="F254" t="s">
        <v>336</v>
      </c>
      <c r="G254" t="s">
        <v>25</v>
      </c>
      <c r="H254" t="s">
        <v>25</v>
      </c>
      <c r="I254"/>
    </row>
    <row r="255" spans="1:9">
      <c r="A255" t="s">
        <v>355</v>
      </c>
      <c r="B255" s="1" t="str">
        <f>"20509347"</f>
        <v>20509347</v>
      </c>
      <c r="C255" t="s">
        <v>358</v>
      </c>
      <c r="D255" t="s">
        <v>359</v>
      </c>
      <c r="E255" s="2"/>
      <c r="F255" t="s">
        <v>24</v>
      </c>
      <c r="G255" t="s">
        <v>360</v>
      </c>
      <c r="H255" t="s">
        <v>360</v>
      </c>
      <c r="I255"/>
    </row>
    <row r="256" spans="1:9">
      <c r="A256" t="s">
        <v>355</v>
      </c>
      <c r="B256" s="1" t="str">
        <f>"20058722"</f>
        <v>20058722</v>
      </c>
      <c r="C256" t="s">
        <v>358</v>
      </c>
      <c r="D256" t="s">
        <v>361</v>
      </c>
      <c r="E256" s="2"/>
      <c r="F256" t="s">
        <v>66</v>
      </c>
      <c r="G256" t="s">
        <v>29</v>
      </c>
      <c r="H256" t="s">
        <v>29</v>
      </c>
      <c r="I256"/>
    </row>
    <row r="257" spans="1:9">
      <c r="A257" t="s">
        <v>355</v>
      </c>
      <c r="B257" s="1" t="str">
        <f>"20702008"</f>
        <v>20702008</v>
      </c>
      <c r="C257" t="s">
        <v>207</v>
      </c>
      <c r="D257" t="s">
        <v>362</v>
      </c>
      <c r="E257" s="2"/>
      <c r="F257" t="s">
        <v>105</v>
      </c>
      <c r="G257" t="s">
        <v>37</v>
      </c>
      <c r="H257" t="s">
        <v>37</v>
      </c>
      <c r="I257"/>
    </row>
    <row r="258" spans="1:9">
      <c r="A258" t="s">
        <v>355</v>
      </c>
      <c r="B258" s="1" t="str">
        <f>"20162009"</f>
        <v>20162009</v>
      </c>
      <c r="C258" t="s">
        <v>363</v>
      </c>
      <c r="D258" t="s">
        <v>364</v>
      </c>
      <c r="E258" s="2"/>
      <c r="F258" t="s">
        <v>336</v>
      </c>
      <c r="G258" t="s">
        <v>29</v>
      </c>
      <c r="H258" t="s">
        <v>29</v>
      </c>
      <c r="I258"/>
    </row>
    <row r="259" spans="1:9">
      <c r="A259" t="s">
        <v>355</v>
      </c>
      <c r="B259" s="1" t="str">
        <f>"20035519"</f>
        <v>20035519</v>
      </c>
      <c r="C259" t="s">
        <v>209</v>
      </c>
      <c r="D259" t="s">
        <v>365</v>
      </c>
      <c r="E259" s="2"/>
      <c r="F259" t="s">
        <v>66</v>
      </c>
      <c r="G259" t="s">
        <v>25</v>
      </c>
      <c r="H259" t="s">
        <v>25</v>
      </c>
      <c r="I259"/>
    </row>
    <row r="260" spans="1:9">
      <c r="A260" t="s">
        <v>355</v>
      </c>
      <c r="B260" s="1" t="str">
        <f>"20583392"</f>
        <v>20583392</v>
      </c>
      <c r="C260" t="s">
        <v>209</v>
      </c>
      <c r="D260" t="s">
        <v>366</v>
      </c>
      <c r="E260" s="2"/>
      <c r="F260" t="s">
        <v>66</v>
      </c>
      <c r="G260" t="s">
        <v>29</v>
      </c>
      <c r="H260" t="s">
        <v>29</v>
      </c>
      <c r="I260"/>
    </row>
    <row r="261" spans="1:9">
      <c r="A261" t="s">
        <v>355</v>
      </c>
      <c r="B261" s="1" t="str">
        <f>"20555035"</f>
        <v>20555035</v>
      </c>
      <c r="C261" t="s">
        <v>225</v>
      </c>
      <c r="D261" t="s">
        <v>367</v>
      </c>
      <c r="E261" s="2"/>
      <c r="F261" t="s">
        <v>66</v>
      </c>
      <c r="G261" t="s">
        <v>25</v>
      </c>
      <c r="H261" t="s">
        <v>25</v>
      </c>
      <c r="I261"/>
    </row>
    <row r="262" spans="1:9">
      <c r="A262" t="s">
        <v>355</v>
      </c>
      <c r="B262" s="1" t="str">
        <f>"20076467"</f>
        <v>20076467</v>
      </c>
      <c r="C262" t="s">
        <v>225</v>
      </c>
      <c r="D262" t="s">
        <v>368</v>
      </c>
      <c r="E262" s="2"/>
      <c r="F262" t="s">
        <v>336</v>
      </c>
      <c r="G262" t="s">
        <v>29</v>
      </c>
      <c r="H262" t="s">
        <v>29</v>
      </c>
      <c r="I262"/>
    </row>
    <row r="263" spans="1:9">
      <c r="A263" t="s">
        <v>355</v>
      </c>
      <c r="B263" s="1" t="str">
        <f>"25762389"</f>
        <v>25762389</v>
      </c>
      <c r="C263" t="s">
        <v>225</v>
      </c>
      <c r="D263" t="s">
        <v>369</v>
      </c>
      <c r="E263" s="2"/>
      <c r="F263" t="s">
        <v>331</v>
      </c>
      <c r="G263" t="s">
        <v>370</v>
      </c>
      <c r="H263" t="s">
        <v>25</v>
      </c>
      <c r="I263"/>
    </row>
    <row r="264" spans="1:9">
      <c r="A264" t="s">
        <v>355</v>
      </c>
      <c r="B264" s="1" t="str">
        <f>"20565718"</f>
        <v>20565718</v>
      </c>
      <c r="C264" t="s">
        <v>225</v>
      </c>
      <c r="D264" t="s">
        <v>371</v>
      </c>
      <c r="E264" s="2"/>
      <c r="F264" t="s">
        <v>372</v>
      </c>
      <c r="G264" t="s">
        <v>29</v>
      </c>
      <c r="H264" t="s">
        <v>29</v>
      </c>
      <c r="I264"/>
    </row>
    <row r="265" spans="1:9">
      <c r="A265" t="s">
        <v>355</v>
      </c>
      <c r="B265" s="1" t="str">
        <f>"20071752"</f>
        <v>20071752</v>
      </c>
      <c r="C265" t="s">
        <v>225</v>
      </c>
      <c r="D265" t="s">
        <v>373</v>
      </c>
      <c r="E265" s="2"/>
      <c r="F265" t="s">
        <v>12</v>
      </c>
      <c r="G265" t="s">
        <v>374</v>
      </c>
      <c r="H265" t="s">
        <v>374</v>
      </c>
      <c r="I265"/>
    </row>
    <row r="266" spans="1:9">
      <c r="A266" t="s">
        <v>355</v>
      </c>
      <c r="B266" s="1" t="str">
        <f>"20035518"</f>
        <v>20035518</v>
      </c>
      <c r="C266" t="s">
        <v>225</v>
      </c>
      <c r="D266" t="s">
        <v>375</v>
      </c>
      <c r="E266" s="2"/>
      <c r="F266" t="s">
        <v>12</v>
      </c>
      <c r="G266" t="s">
        <v>374</v>
      </c>
      <c r="H266" t="s">
        <v>374</v>
      </c>
      <c r="I266"/>
    </row>
    <row r="267" spans="1:9">
      <c r="A267" t="s">
        <v>355</v>
      </c>
      <c r="B267" s="1" t="str">
        <f>"21760398"</f>
        <v>21760398</v>
      </c>
      <c r="C267" t="s">
        <v>341</v>
      </c>
      <c r="D267" t="s">
        <v>376</v>
      </c>
      <c r="E267" s="2"/>
      <c r="F267" t="s">
        <v>66</v>
      </c>
      <c r="G267" t="s">
        <v>25</v>
      </c>
      <c r="H267" t="s">
        <v>25</v>
      </c>
      <c r="I267"/>
    </row>
    <row r="268" spans="1:9">
      <c r="A268" t="s">
        <v>355</v>
      </c>
      <c r="B268" s="1" t="str">
        <f>"21760398.2"</f>
        <v>21760398.2</v>
      </c>
      <c r="C268" t="s">
        <v>341</v>
      </c>
      <c r="D268" t="s">
        <v>376</v>
      </c>
      <c r="E268" s="2"/>
      <c r="F268" t="s">
        <v>66</v>
      </c>
      <c r="G268" t="s">
        <v>25</v>
      </c>
      <c r="H268" t="s">
        <v>332</v>
      </c>
      <c r="I268"/>
    </row>
    <row r="269" spans="1:9">
      <c r="A269" t="s">
        <v>355</v>
      </c>
      <c r="B269" s="1" t="str">
        <f>"20714316"</f>
        <v>20714316</v>
      </c>
      <c r="C269" t="s">
        <v>377</v>
      </c>
      <c r="D269" t="s">
        <v>378</v>
      </c>
      <c r="E269" s="2"/>
      <c r="F269" t="s">
        <v>27</v>
      </c>
      <c r="G269" t="s">
        <v>29</v>
      </c>
      <c r="H269" t="s">
        <v>29</v>
      </c>
      <c r="I269"/>
    </row>
    <row r="270" spans="1:9">
      <c r="A270" t="s">
        <v>355</v>
      </c>
      <c r="B270" s="1" t="str">
        <f>"20714316.2"</f>
        <v>20714316.2</v>
      </c>
      <c r="C270" t="s">
        <v>377</v>
      </c>
      <c r="D270" t="s">
        <v>378</v>
      </c>
      <c r="E270" s="2"/>
      <c r="F270" t="s">
        <v>27</v>
      </c>
      <c r="G270" t="s">
        <v>29</v>
      </c>
      <c r="H270" t="s">
        <v>332</v>
      </c>
      <c r="I270"/>
    </row>
    <row r="271" spans="1:9">
      <c r="A271" t="s">
        <v>355</v>
      </c>
      <c r="B271" s="1" t="str">
        <f>"20018497"</f>
        <v>20018497</v>
      </c>
      <c r="C271" t="s">
        <v>377</v>
      </c>
      <c r="D271" t="s">
        <v>379</v>
      </c>
      <c r="E271" s="2"/>
      <c r="F271" t="s">
        <v>380</v>
      </c>
      <c r="G271" t="s">
        <v>29</v>
      </c>
      <c r="H271" t="s">
        <v>29</v>
      </c>
      <c r="I271"/>
    </row>
    <row r="272" spans="1:9">
      <c r="A272" t="s">
        <v>355</v>
      </c>
      <c r="B272" s="1" t="str">
        <f>"20018497.2"</f>
        <v>20018497.2</v>
      </c>
      <c r="C272" t="s">
        <v>377</v>
      </c>
      <c r="D272" t="s">
        <v>379</v>
      </c>
      <c r="E272" s="2"/>
      <c r="F272" t="s">
        <v>380</v>
      </c>
      <c r="G272" t="s">
        <v>29</v>
      </c>
      <c r="H272" t="s">
        <v>332</v>
      </c>
      <c r="I272"/>
    </row>
    <row r="273" spans="1:9">
      <c r="A273" t="s">
        <v>355</v>
      </c>
      <c r="B273" s="1" t="str">
        <f>"20059545"</f>
        <v>20059545</v>
      </c>
      <c r="C273" t="s">
        <v>381</v>
      </c>
      <c r="D273" t="s">
        <v>382</v>
      </c>
      <c r="E273" s="2"/>
      <c r="F273" t="s">
        <v>12</v>
      </c>
      <c r="G273" t="s">
        <v>156</v>
      </c>
      <c r="H273" t="s">
        <v>156</v>
      </c>
      <c r="I273"/>
    </row>
    <row r="274" spans="1:9">
      <c r="A274" t="s">
        <v>355</v>
      </c>
      <c r="B274" s="1" t="str">
        <f>"20059545.2"</f>
        <v>20059545.2</v>
      </c>
      <c r="C274" t="s">
        <v>381</v>
      </c>
      <c r="D274" t="s">
        <v>382</v>
      </c>
      <c r="E274" s="2"/>
      <c r="F274" t="s">
        <v>12</v>
      </c>
      <c r="G274" t="s">
        <v>156</v>
      </c>
      <c r="H274" t="s">
        <v>383</v>
      </c>
      <c r="I274"/>
    </row>
    <row r="275" spans="1:9">
      <c r="A275" t="s">
        <v>355</v>
      </c>
      <c r="B275" s="1" t="str">
        <f>"12566609"</f>
        <v>12566609</v>
      </c>
      <c r="C275" t="s">
        <v>381</v>
      </c>
      <c r="D275" t="s">
        <v>384</v>
      </c>
      <c r="E275" s="2"/>
      <c r="F275" t="s">
        <v>385</v>
      </c>
      <c r="G275" t="s">
        <v>383</v>
      </c>
      <c r="H275" t="s">
        <v>383</v>
      </c>
      <c r="I275"/>
    </row>
    <row r="276" spans="1:9">
      <c r="A276" t="s">
        <v>355</v>
      </c>
      <c r="B276" s="1" t="str">
        <f>"12063661"</f>
        <v>12063661</v>
      </c>
      <c r="C276"/>
      <c r="D276" t="s">
        <v>386</v>
      </c>
      <c r="E276" s="2"/>
      <c r="F276" t="s">
        <v>385</v>
      </c>
      <c r="G276" t="s">
        <v>387</v>
      </c>
      <c r="H276" t="s">
        <v>329</v>
      </c>
      <c r="I276"/>
    </row>
    <row r="277" spans="1:9">
      <c r="A277" t="s">
        <v>355</v>
      </c>
      <c r="B277" s="1" t="str">
        <f>"12063663"</f>
        <v>12063663</v>
      </c>
      <c r="C277"/>
      <c r="D277" t="s">
        <v>386</v>
      </c>
      <c r="E277" s="2"/>
      <c r="F277" t="s">
        <v>12</v>
      </c>
      <c r="G277" t="s">
        <v>29</v>
      </c>
      <c r="H277" t="s">
        <v>332</v>
      </c>
      <c r="I277"/>
    </row>
    <row r="278" spans="1:9">
      <c r="A278" t="s">
        <v>355</v>
      </c>
      <c r="B278" s="1" t="str">
        <f>"20060145"</f>
        <v>20060145</v>
      </c>
      <c r="C278" t="s">
        <v>388</v>
      </c>
      <c r="D278" t="s">
        <v>389</v>
      </c>
      <c r="E278" s="2"/>
      <c r="F278" t="s">
        <v>27</v>
      </c>
      <c r="G278" t="s">
        <v>370</v>
      </c>
      <c r="H278" t="s">
        <v>370</v>
      </c>
      <c r="I278"/>
    </row>
    <row r="279" spans="1:9">
      <c r="A279" t="s">
        <v>355</v>
      </c>
      <c r="B279" s="1" t="str">
        <f>"20060145.2"</f>
        <v>20060145.2</v>
      </c>
      <c r="C279" t="s">
        <v>388</v>
      </c>
      <c r="D279" t="s">
        <v>389</v>
      </c>
      <c r="E279" s="2"/>
      <c r="F279" t="s">
        <v>27</v>
      </c>
      <c r="G279" t="s">
        <v>370</v>
      </c>
      <c r="H279" t="s">
        <v>332</v>
      </c>
      <c r="I279"/>
    </row>
    <row r="280" spans="1:9">
      <c r="A280" t="s">
        <v>355</v>
      </c>
      <c r="B280" s="1" t="str">
        <f>"20060176"</f>
        <v>20060176</v>
      </c>
      <c r="C280" t="s">
        <v>388</v>
      </c>
      <c r="D280" t="s">
        <v>390</v>
      </c>
      <c r="E280" s="2"/>
      <c r="F280" t="s">
        <v>336</v>
      </c>
      <c r="G280" t="s">
        <v>29</v>
      </c>
      <c r="H280" t="s">
        <v>29</v>
      </c>
      <c r="I280"/>
    </row>
    <row r="281" spans="1:9">
      <c r="A281" t="s">
        <v>355</v>
      </c>
      <c r="B281" s="1" t="str">
        <f>"20060176.2"</f>
        <v>20060176.2</v>
      </c>
      <c r="C281" t="s">
        <v>388</v>
      </c>
      <c r="D281" t="s">
        <v>390</v>
      </c>
      <c r="E281" s="2"/>
      <c r="F281" t="s">
        <v>336</v>
      </c>
      <c r="G281" t="s">
        <v>29</v>
      </c>
      <c r="H281" t="s">
        <v>332</v>
      </c>
      <c r="I281"/>
    </row>
    <row r="282" spans="1:9">
      <c r="A282" t="s">
        <v>355</v>
      </c>
      <c r="B282" s="1" t="str">
        <f>"20096670"</f>
        <v>20096670</v>
      </c>
      <c r="C282" t="s">
        <v>388</v>
      </c>
      <c r="D282" t="s">
        <v>391</v>
      </c>
      <c r="E282" s="2"/>
      <c r="F282" t="s">
        <v>66</v>
      </c>
      <c r="G282" t="s">
        <v>392</v>
      </c>
      <c r="H282" t="s">
        <v>370</v>
      </c>
      <c r="I282"/>
    </row>
    <row r="283" spans="1:9">
      <c r="A283" t="s">
        <v>355</v>
      </c>
      <c r="B283" s="1" t="str">
        <f>"20062026"</f>
        <v>20062026</v>
      </c>
      <c r="C283" t="s">
        <v>393</v>
      </c>
      <c r="D283" t="s">
        <v>394</v>
      </c>
      <c r="E283" s="2"/>
      <c r="F283" t="s">
        <v>336</v>
      </c>
      <c r="G283" t="s">
        <v>29</v>
      </c>
      <c r="H283" t="s">
        <v>29</v>
      </c>
      <c r="I283"/>
    </row>
    <row r="284" spans="1:9">
      <c r="A284" t="s">
        <v>355</v>
      </c>
      <c r="B284" s="1" t="str">
        <f>"23908006"</f>
        <v>23908006</v>
      </c>
      <c r="C284" t="s">
        <v>395</v>
      </c>
      <c r="D284" t="s">
        <v>396</v>
      </c>
      <c r="E284" s="2"/>
      <c r="F284" t="s">
        <v>27</v>
      </c>
      <c r="G284" t="s">
        <v>25</v>
      </c>
      <c r="H284" t="s">
        <v>25</v>
      </c>
      <c r="I284"/>
    </row>
    <row r="285" spans="1:9">
      <c r="A285" t="s">
        <v>355</v>
      </c>
      <c r="B285" s="1" t="str">
        <f>"23908006.2"</f>
        <v>23908006.2</v>
      </c>
      <c r="C285" t="s">
        <v>395</v>
      </c>
      <c r="D285" t="s">
        <v>396</v>
      </c>
      <c r="E285" s="2"/>
      <c r="F285" t="s">
        <v>27</v>
      </c>
      <c r="G285" t="s">
        <v>25</v>
      </c>
      <c r="H285" t="s">
        <v>332</v>
      </c>
      <c r="I285"/>
    </row>
    <row r="286" spans="1:9">
      <c r="A286" t="s">
        <v>397</v>
      </c>
      <c r="B286" s="1" t="str">
        <f>"20654161"</f>
        <v>20654161</v>
      </c>
      <c r="C286" t="s">
        <v>398</v>
      </c>
      <c r="D286" t="s">
        <v>399</v>
      </c>
      <c r="E286" s="2"/>
      <c r="F286" t="s">
        <v>105</v>
      </c>
      <c r="G286" t="s">
        <v>148</v>
      </c>
      <c r="H286" t="s">
        <v>148</v>
      </c>
      <c r="I286"/>
    </row>
    <row r="287" spans="1:9">
      <c r="A287" t="s">
        <v>397</v>
      </c>
      <c r="B287" s="1" t="str">
        <f>"20654162"</f>
        <v>20654162</v>
      </c>
      <c r="C287" t="s">
        <v>398</v>
      </c>
      <c r="D287" t="s">
        <v>400</v>
      </c>
      <c r="E287" s="2"/>
      <c r="F287" t="s">
        <v>105</v>
      </c>
      <c r="G287" t="s">
        <v>148</v>
      </c>
      <c r="H287" t="s">
        <v>148</v>
      </c>
      <c r="I287"/>
    </row>
    <row r="288" spans="1:9">
      <c r="A288" t="s">
        <v>397</v>
      </c>
      <c r="B288" s="1" t="str">
        <f>"20776503"</f>
        <v>20776503</v>
      </c>
      <c r="C288" t="s">
        <v>225</v>
      </c>
      <c r="D288" t="s">
        <v>401</v>
      </c>
      <c r="E288" s="2"/>
      <c r="F288" t="s">
        <v>402</v>
      </c>
      <c r="G288" t="s">
        <v>227</v>
      </c>
      <c r="H288" t="s">
        <v>322</v>
      </c>
      <c r="I288"/>
    </row>
    <row r="289" spans="1:9">
      <c r="A289" t="s">
        <v>397</v>
      </c>
      <c r="B289" s="1" t="str">
        <f>"22953940"</f>
        <v>22953940</v>
      </c>
      <c r="C289" t="s">
        <v>225</v>
      </c>
      <c r="D289" t="s">
        <v>403</v>
      </c>
      <c r="E289" s="2"/>
      <c r="F289" t="s">
        <v>68</v>
      </c>
      <c r="G289" t="s">
        <v>232</v>
      </c>
      <c r="H289" t="s">
        <v>232</v>
      </c>
      <c r="I289"/>
    </row>
    <row r="290" spans="1:9">
      <c r="A290" t="s">
        <v>397</v>
      </c>
      <c r="B290" s="1" t="str">
        <f>"20046013"</f>
        <v>20046013</v>
      </c>
      <c r="C290" t="s">
        <v>225</v>
      </c>
      <c r="D290" t="s">
        <v>404</v>
      </c>
      <c r="E290" s="2"/>
      <c r="F290" t="s">
        <v>68</v>
      </c>
      <c r="G290" t="s">
        <v>322</v>
      </c>
      <c r="H290" t="s">
        <v>322</v>
      </c>
      <c r="I290"/>
    </row>
    <row r="291" spans="1:9">
      <c r="A291" t="s">
        <v>397</v>
      </c>
      <c r="B291" s="1" t="str">
        <f>"20323620"</f>
        <v>20323620</v>
      </c>
      <c r="C291" t="s">
        <v>225</v>
      </c>
      <c r="D291" t="s">
        <v>405</v>
      </c>
      <c r="E291" s="2"/>
      <c r="F291" t="s">
        <v>406</v>
      </c>
      <c r="G291" t="s">
        <v>13</v>
      </c>
      <c r="H291" t="s">
        <v>13</v>
      </c>
      <c r="I291"/>
    </row>
    <row r="292" spans="1:9">
      <c r="A292" t="s">
        <v>397</v>
      </c>
      <c r="B292" s="1" t="str">
        <f>"20100582"</f>
        <v>20100582</v>
      </c>
      <c r="C292" t="s">
        <v>407</v>
      </c>
      <c r="D292" t="s">
        <v>408</v>
      </c>
      <c r="E292" s="2"/>
      <c r="F292" t="s">
        <v>68</v>
      </c>
      <c r="G292" t="s">
        <v>19</v>
      </c>
      <c r="H292" t="s">
        <v>19</v>
      </c>
      <c r="I292"/>
    </row>
    <row r="293" spans="1:9">
      <c r="A293" t="s">
        <v>397</v>
      </c>
      <c r="B293" s="1" t="str">
        <f>"20099961"</f>
        <v>20099961</v>
      </c>
      <c r="C293" t="s">
        <v>407</v>
      </c>
      <c r="D293" t="s">
        <v>409</v>
      </c>
      <c r="E293" s="2"/>
      <c r="F293" t="s">
        <v>68</v>
      </c>
      <c r="G293" t="s">
        <v>19</v>
      </c>
      <c r="H293" t="s">
        <v>19</v>
      </c>
      <c r="I293"/>
    </row>
    <row r="294" spans="1:9">
      <c r="A294" t="s">
        <v>410</v>
      </c>
      <c r="B294" s="1" t="str">
        <f>"20064266"</f>
        <v>20064266</v>
      </c>
      <c r="D294" t="s">
        <v>411</v>
      </c>
      <c r="E294" s="2"/>
      <c r="F294" t="s">
        <v>412</v>
      </c>
      <c r="G294" t="s">
        <v>177</v>
      </c>
      <c r="H294" t="s">
        <v>177</v>
      </c>
      <c r="I294"/>
    </row>
    <row r="295" spans="1:9">
      <c r="A295" t="s">
        <v>410</v>
      </c>
      <c r="B295" s="1" t="str">
        <f>"20053093"</f>
        <v>20053093</v>
      </c>
      <c r="C295" t="s">
        <v>260</v>
      </c>
      <c r="D295" t="s">
        <v>413</v>
      </c>
      <c r="E295" s="2"/>
      <c r="F295" t="s">
        <v>414</v>
      </c>
      <c r="G295" t="s">
        <v>122</v>
      </c>
      <c r="H295" t="s">
        <v>122</v>
      </c>
      <c r="I295"/>
    </row>
    <row r="296" spans="1:9">
      <c r="A296" t="s">
        <v>410</v>
      </c>
      <c r="B296" s="1" t="str">
        <f>"20169162"</f>
        <v>20169162</v>
      </c>
      <c r="C296" t="s">
        <v>415</v>
      </c>
      <c r="D296" t="s">
        <v>416</v>
      </c>
      <c r="E296" s="2"/>
      <c r="F296" t="s">
        <v>129</v>
      </c>
      <c r="G296" t="s">
        <v>122</v>
      </c>
      <c r="H296" t="s">
        <v>122</v>
      </c>
      <c r="I296"/>
    </row>
    <row r="297" spans="1:9">
      <c r="A297" t="s">
        <v>410</v>
      </c>
      <c r="B297" s="1" t="str">
        <f>"20826598"</f>
        <v>20826598</v>
      </c>
      <c r="C297" t="s">
        <v>417</v>
      </c>
      <c r="D297" t="s">
        <v>418</v>
      </c>
      <c r="E297" s="2"/>
      <c r="F297" t="s">
        <v>63</v>
      </c>
      <c r="G297" t="s">
        <v>419</v>
      </c>
      <c r="H297" t="s">
        <v>419</v>
      </c>
      <c r="I297"/>
    </row>
    <row r="298" spans="1:9">
      <c r="A298" t="s">
        <v>410</v>
      </c>
      <c r="B298" s="1" t="str">
        <f>"20050014"</f>
        <v>20050014</v>
      </c>
      <c r="C298" t="s">
        <v>417</v>
      </c>
      <c r="D298" t="s">
        <v>420</v>
      </c>
      <c r="E298" s="2"/>
      <c r="F298" t="s">
        <v>63</v>
      </c>
      <c r="G298" t="s">
        <v>419</v>
      </c>
      <c r="H298" t="s">
        <v>419</v>
      </c>
      <c r="I298"/>
    </row>
    <row r="299" spans="1:9">
      <c r="A299" t="s">
        <v>410</v>
      </c>
      <c r="B299" s="1" t="str">
        <f>"20050015"</f>
        <v>20050015</v>
      </c>
      <c r="C299" t="s">
        <v>417</v>
      </c>
      <c r="D299" t="s">
        <v>421</v>
      </c>
      <c r="E299" s="2"/>
      <c r="F299" t="s">
        <v>63</v>
      </c>
      <c r="G299" t="s">
        <v>419</v>
      </c>
      <c r="H299" t="s">
        <v>419</v>
      </c>
      <c r="I299"/>
    </row>
    <row r="300" spans="1:9">
      <c r="A300" t="s">
        <v>410</v>
      </c>
      <c r="B300" s="1" t="str">
        <f>"20050016"</f>
        <v>20050016</v>
      </c>
      <c r="C300" t="s">
        <v>417</v>
      </c>
      <c r="D300" t="s">
        <v>422</v>
      </c>
      <c r="E300" s="2"/>
      <c r="F300" t="s">
        <v>63</v>
      </c>
      <c r="G300" t="s">
        <v>419</v>
      </c>
      <c r="H300" t="s">
        <v>419</v>
      </c>
      <c r="I300"/>
    </row>
    <row r="301" spans="1:9">
      <c r="A301" t="s">
        <v>410</v>
      </c>
      <c r="B301" s="1" t="str">
        <f>"23859072"</f>
        <v>23859072</v>
      </c>
      <c r="C301" t="s">
        <v>423</v>
      </c>
      <c r="D301" t="s">
        <v>424</v>
      </c>
      <c r="E301" s="2"/>
      <c r="F301" t="s">
        <v>425</v>
      </c>
      <c r="G301" t="s">
        <v>37</v>
      </c>
      <c r="H301" t="s">
        <v>37</v>
      </c>
      <c r="I301"/>
    </row>
    <row r="302" spans="1:9">
      <c r="A302" t="s">
        <v>410</v>
      </c>
      <c r="B302" s="1" t="str">
        <f>"20080143"</f>
        <v>20080143</v>
      </c>
      <c r="C302" t="s">
        <v>426</v>
      </c>
      <c r="D302" t="s">
        <v>427</v>
      </c>
      <c r="E302" s="2"/>
      <c r="F302" t="s">
        <v>428</v>
      </c>
      <c r="G302" t="s">
        <v>122</v>
      </c>
      <c r="H302" t="s">
        <v>122</v>
      </c>
      <c r="I302"/>
    </row>
    <row r="303" spans="1:9">
      <c r="A303" t="s">
        <v>410</v>
      </c>
      <c r="B303" s="1" t="str">
        <f>"20079031"</f>
        <v>20079031</v>
      </c>
      <c r="C303" t="s">
        <v>426</v>
      </c>
      <c r="D303" t="s">
        <v>429</v>
      </c>
      <c r="E303" s="2"/>
      <c r="F303" t="s">
        <v>428</v>
      </c>
      <c r="G303" t="s">
        <v>122</v>
      </c>
      <c r="H303" t="s">
        <v>122</v>
      </c>
      <c r="I303"/>
    </row>
    <row r="304" spans="1:9">
      <c r="A304" t="s">
        <v>410</v>
      </c>
      <c r="B304" s="1" t="str">
        <f>"20119270"</f>
        <v>20119270</v>
      </c>
      <c r="C304" t="s">
        <v>426</v>
      </c>
      <c r="D304" t="s">
        <v>430</v>
      </c>
      <c r="E304" s="2"/>
      <c r="F304" t="s">
        <v>428</v>
      </c>
      <c r="G304" t="s">
        <v>122</v>
      </c>
      <c r="H304" t="s">
        <v>122</v>
      </c>
      <c r="I304"/>
    </row>
    <row r="305" spans="1:9">
      <c r="A305" t="s">
        <v>410</v>
      </c>
      <c r="B305" s="1" t="str">
        <f>"20060404"</f>
        <v>20060404</v>
      </c>
      <c r="C305" t="s">
        <v>426</v>
      </c>
      <c r="D305" t="s">
        <v>431</v>
      </c>
      <c r="E305" s="2"/>
      <c r="F305" t="s">
        <v>129</v>
      </c>
      <c r="G305" t="s">
        <v>122</v>
      </c>
      <c r="H305" t="s">
        <v>122</v>
      </c>
      <c r="I305"/>
    </row>
    <row r="306" spans="1:9">
      <c r="A306" t="s">
        <v>410</v>
      </c>
      <c r="B306" s="1" t="str">
        <f>"20515515"</f>
        <v>20515515</v>
      </c>
      <c r="C306" t="s">
        <v>426</v>
      </c>
      <c r="D306" t="s">
        <v>432</v>
      </c>
      <c r="E306" s="2"/>
      <c r="F306" t="s">
        <v>433</v>
      </c>
      <c r="G306" t="s">
        <v>122</v>
      </c>
      <c r="H306" t="s">
        <v>122</v>
      </c>
      <c r="I306"/>
    </row>
    <row r="307" spans="1:9">
      <c r="A307" t="s">
        <v>410</v>
      </c>
      <c r="B307" s="1" t="str">
        <f>"20098766"</f>
        <v>20098766</v>
      </c>
      <c r="C307" t="s">
        <v>426</v>
      </c>
      <c r="D307" t="s">
        <v>434</v>
      </c>
      <c r="E307" s="2"/>
      <c r="F307" t="s">
        <v>433</v>
      </c>
      <c r="G307" t="s">
        <v>122</v>
      </c>
      <c r="H307" t="s">
        <v>122</v>
      </c>
      <c r="I307"/>
    </row>
    <row r="308" spans="1:9">
      <c r="A308" t="s">
        <v>410</v>
      </c>
      <c r="B308" s="1" t="str">
        <f>"20119119"</f>
        <v>20119119</v>
      </c>
      <c r="C308" t="s">
        <v>426</v>
      </c>
      <c r="D308" t="s">
        <v>435</v>
      </c>
      <c r="E308" s="2"/>
      <c r="F308" t="s">
        <v>433</v>
      </c>
      <c r="G308" t="s">
        <v>122</v>
      </c>
      <c r="H308" t="s">
        <v>122</v>
      </c>
      <c r="I308"/>
    </row>
    <row r="309" spans="1:9">
      <c r="A309" t="s">
        <v>410</v>
      </c>
      <c r="B309" s="1" t="str">
        <f>"20098056"</f>
        <v>20098056</v>
      </c>
      <c r="C309" t="s">
        <v>426</v>
      </c>
      <c r="D309" t="s">
        <v>436</v>
      </c>
      <c r="E309" s="2"/>
      <c r="F309" t="s">
        <v>433</v>
      </c>
      <c r="G309" t="s">
        <v>122</v>
      </c>
      <c r="H309" t="s">
        <v>122</v>
      </c>
      <c r="I309"/>
    </row>
    <row r="310" spans="1:9">
      <c r="A310" t="s">
        <v>410</v>
      </c>
      <c r="B310" s="1" t="str">
        <f>"20092818"</f>
        <v>20092818</v>
      </c>
      <c r="C310" t="s">
        <v>426</v>
      </c>
      <c r="D310" t="s">
        <v>437</v>
      </c>
      <c r="E310" s="2"/>
      <c r="F310" t="s">
        <v>433</v>
      </c>
      <c r="G310" t="s">
        <v>122</v>
      </c>
      <c r="H310" t="s">
        <v>122</v>
      </c>
      <c r="I310"/>
    </row>
    <row r="311" spans="1:9">
      <c r="A311" t="s">
        <v>410</v>
      </c>
      <c r="B311" s="1" t="str">
        <f>"20068844"</f>
        <v>20068844</v>
      </c>
      <c r="C311" t="s">
        <v>426</v>
      </c>
      <c r="D311" t="s">
        <v>438</v>
      </c>
      <c r="E311" s="2"/>
      <c r="F311"/>
      <c r="G311" t="s">
        <v>80</v>
      </c>
      <c r="H311" t="s">
        <v>80</v>
      </c>
      <c r="I311"/>
    </row>
    <row r="312" spans="1:9">
      <c r="A312" t="s">
        <v>410</v>
      </c>
      <c r="B312" s="1" t="str">
        <f>"20020705"</f>
        <v>20020705</v>
      </c>
      <c r="C312" t="s">
        <v>426</v>
      </c>
      <c r="D312" t="s">
        <v>439</v>
      </c>
      <c r="E312" s="2"/>
      <c r="F312"/>
      <c r="G312" t="s">
        <v>80</v>
      </c>
      <c r="H312" t="s">
        <v>80</v>
      </c>
      <c r="I312"/>
    </row>
    <row r="313" spans="1:9">
      <c r="A313" t="s">
        <v>410</v>
      </c>
      <c r="B313" s="1" t="str">
        <f>"20048570"</f>
        <v>20048570</v>
      </c>
      <c r="C313" t="s">
        <v>426</v>
      </c>
      <c r="D313" t="s">
        <v>440</v>
      </c>
      <c r="E313" s="2"/>
      <c r="F313" t="s">
        <v>433</v>
      </c>
      <c r="G313" t="s">
        <v>122</v>
      </c>
      <c r="H313" t="s">
        <v>122</v>
      </c>
      <c r="I313"/>
    </row>
    <row r="314" spans="1:9">
      <c r="A314" t="s">
        <v>410</v>
      </c>
      <c r="B314" s="1" t="str">
        <f>"20780586"</f>
        <v>20780586</v>
      </c>
      <c r="C314" t="s">
        <v>426</v>
      </c>
      <c r="D314" t="s">
        <v>441</v>
      </c>
      <c r="E314" s="2"/>
      <c r="F314" t="s">
        <v>105</v>
      </c>
      <c r="G314" t="s">
        <v>122</v>
      </c>
      <c r="H314" t="s">
        <v>122</v>
      </c>
      <c r="I314"/>
    </row>
    <row r="315" spans="1:9">
      <c r="A315" t="s">
        <v>410</v>
      </c>
      <c r="B315" s="1" t="str">
        <f>"20069162"</f>
        <v>20069162</v>
      </c>
      <c r="C315" t="s">
        <v>426</v>
      </c>
      <c r="D315" t="s">
        <v>442</v>
      </c>
      <c r="E315" s="2"/>
      <c r="F315" t="s">
        <v>443</v>
      </c>
      <c r="G315" t="s">
        <v>122</v>
      </c>
      <c r="H315" t="s">
        <v>122</v>
      </c>
      <c r="I315"/>
    </row>
    <row r="316" spans="1:9">
      <c r="A316" t="s">
        <v>410</v>
      </c>
      <c r="B316" s="1" t="str">
        <f>"20047368"</f>
        <v>20047368</v>
      </c>
      <c r="C316" t="s">
        <v>426</v>
      </c>
      <c r="D316" t="s">
        <v>444</v>
      </c>
      <c r="E316" s="2"/>
      <c r="F316" t="s">
        <v>433</v>
      </c>
      <c r="G316" t="s">
        <v>122</v>
      </c>
      <c r="H316" t="s">
        <v>122</v>
      </c>
      <c r="I316"/>
    </row>
    <row r="317" spans="1:9">
      <c r="A317" t="s">
        <v>410</v>
      </c>
      <c r="B317" s="1" t="str">
        <f>"20112561"</f>
        <v>20112561</v>
      </c>
      <c r="C317" t="s">
        <v>426</v>
      </c>
      <c r="D317" t="s">
        <v>445</v>
      </c>
      <c r="E317" s="2"/>
      <c r="F317" t="s">
        <v>433</v>
      </c>
      <c r="G317" t="s">
        <v>122</v>
      </c>
      <c r="H317" t="s">
        <v>122</v>
      </c>
      <c r="I317"/>
    </row>
    <row r="318" spans="1:9">
      <c r="A318" t="s">
        <v>410</v>
      </c>
      <c r="B318" s="1" t="str">
        <f>"20050009"</f>
        <v>20050009</v>
      </c>
      <c r="C318" t="s">
        <v>426</v>
      </c>
      <c r="D318" t="s">
        <v>446</v>
      </c>
      <c r="E318" s="2"/>
      <c r="F318" t="s">
        <v>129</v>
      </c>
      <c r="G318" t="s">
        <v>122</v>
      </c>
      <c r="H318" t="s">
        <v>122</v>
      </c>
      <c r="I318"/>
    </row>
    <row r="319" spans="1:9">
      <c r="A319" t="s">
        <v>410</v>
      </c>
      <c r="B319" s="1" t="str">
        <f>"20219819"</f>
        <v>20219819</v>
      </c>
      <c r="C319" t="s">
        <v>426</v>
      </c>
      <c r="D319" t="s">
        <v>447</v>
      </c>
      <c r="E319" s="2"/>
      <c r="F319" t="s">
        <v>448</v>
      </c>
      <c r="G319" t="s">
        <v>449</v>
      </c>
      <c r="H319" t="s">
        <v>449</v>
      </c>
      <c r="I319"/>
    </row>
    <row r="320" spans="1:9">
      <c r="A320" t="s">
        <v>410</v>
      </c>
      <c r="B320" s="1" t="str">
        <f>"20294823"</f>
        <v>20294823</v>
      </c>
      <c r="C320" t="s">
        <v>426</v>
      </c>
      <c r="D320" t="s">
        <v>450</v>
      </c>
      <c r="E320" s="2"/>
      <c r="F320" t="s">
        <v>451</v>
      </c>
      <c r="G320" t="s">
        <v>122</v>
      </c>
      <c r="H320" t="s">
        <v>122</v>
      </c>
      <c r="I320"/>
    </row>
    <row r="321" spans="1:9">
      <c r="A321" t="s">
        <v>410</v>
      </c>
      <c r="B321" s="1" t="str">
        <f>"20060374"</f>
        <v>20060374</v>
      </c>
      <c r="C321" t="s">
        <v>426</v>
      </c>
      <c r="D321" t="s">
        <v>135</v>
      </c>
      <c r="E321" s="2"/>
      <c r="F321" t="s">
        <v>129</v>
      </c>
      <c r="G321" t="s">
        <v>122</v>
      </c>
      <c r="H321" t="s">
        <v>122</v>
      </c>
      <c r="I321"/>
    </row>
    <row r="322" spans="1:9">
      <c r="A322" t="s">
        <v>410</v>
      </c>
      <c r="B322" s="1" t="str">
        <f>"20098124"</f>
        <v>20098124</v>
      </c>
      <c r="C322" t="s">
        <v>426</v>
      </c>
      <c r="D322" t="s">
        <v>452</v>
      </c>
      <c r="E322" s="2"/>
      <c r="F322" t="s">
        <v>433</v>
      </c>
      <c r="G322" t="s">
        <v>122</v>
      </c>
      <c r="H322" t="s">
        <v>122</v>
      </c>
      <c r="I322"/>
    </row>
    <row r="323" spans="1:9">
      <c r="A323" t="s">
        <v>410</v>
      </c>
      <c r="B323" s="1" t="str">
        <f>"20050020"</f>
        <v>20050020</v>
      </c>
      <c r="C323" t="s">
        <v>426</v>
      </c>
      <c r="D323" t="s">
        <v>453</v>
      </c>
      <c r="E323" s="2"/>
      <c r="F323" t="s">
        <v>448</v>
      </c>
      <c r="G323" t="s">
        <v>449</v>
      </c>
      <c r="H323" t="s">
        <v>449</v>
      </c>
      <c r="I323"/>
    </row>
    <row r="324" spans="1:9">
      <c r="A324" t="s">
        <v>410</v>
      </c>
      <c r="B324" s="1" t="str">
        <f>"20100193"</f>
        <v>20100193</v>
      </c>
      <c r="C324" t="s">
        <v>426</v>
      </c>
      <c r="D324" t="s">
        <v>454</v>
      </c>
      <c r="E324" s="2"/>
      <c r="F324" t="s">
        <v>433</v>
      </c>
      <c r="G324" t="s">
        <v>122</v>
      </c>
      <c r="H324" t="s">
        <v>122</v>
      </c>
      <c r="I324"/>
    </row>
    <row r="325" spans="1:9">
      <c r="A325" t="s">
        <v>410</v>
      </c>
      <c r="B325" s="1" t="str">
        <f>"20058784"</f>
        <v>20058784</v>
      </c>
      <c r="C325" t="s">
        <v>426</v>
      </c>
      <c r="D325" t="s">
        <v>455</v>
      </c>
      <c r="E325" s="2"/>
      <c r="F325" t="s">
        <v>433</v>
      </c>
      <c r="G325" t="s">
        <v>122</v>
      </c>
      <c r="H325" t="s">
        <v>122</v>
      </c>
      <c r="I325"/>
    </row>
    <row r="326" spans="1:9">
      <c r="A326" t="s">
        <v>410</v>
      </c>
      <c r="B326" s="1" t="str">
        <f>"20866013"</f>
        <v>20866013</v>
      </c>
      <c r="C326" t="s">
        <v>426</v>
      </c>
      <c r="D326" t="s">
        <v>456</v>
      </c>
      <c r="E326" s="2"/>
      <c r="F326" t="s">
        <v>457</v>
      </c>
      <c r="G326" t="s">
        <v>449</v>
      </c>
      <c r="H326" t="s">
        <v>449</v>
      </c>
      <c r="I326"/>
    </row>
    <row r="327" spans="1:9">
      <c r="A327" t="s">
        <v>410</v>
      </c>
      <c r="B327" s="1" t="str">
        <f>"20032005"</f>
        <v>20032005</v>
      </c>
      <c r="C327" t="s">
        <v>426</v>
      </c>
      <c r="D327" t="s">
        <v>458</v>
      </c>
      <c r="E327" s="2"/>
      <c r="F327" t="s">
        <v>129</v>
      </c>
      <c r="G327" t="s">
        <v>122</v>
      </c>
      <c r="H327" t="s">
        <v>122</v>
      </c>
      <c r="I327"/>
    </row>
    <row r="328" spans="1:9">
      <c r="A328" t="s">
        <v>410</v>
      </c>
      <c r="B328" s="1" t="str">
        <f>"20086718"</f>
        <v>20086718</v>
      </c>
      <c r="C328" t="s">
        <v>426</v>
      </c>
      <c r="D328" t="s">
        <v>458</v>
      </c>
      <c r="E328" s="2"/>
      <c r="F328" t="s">
        <v>433</v>
      </c>
      <c r="G328" t="s">
        <v>122</v>
      </c>
      <c r="H328" t="s">
        <v>122</v>
      </c>
      <c r="I328"/>
    </row>
    <row r="329" spans="1:9">
      <c r="A329" t="s">
        <v>410</v>
      </c>
      <c r="B329" s="1" t="str">
        <f>"20067779"</f>
        <v>20067779</v>
      </c>
      <c r="C329" t="s">
        <v>426</v>
      </c>
      <c r="D329" t="s">
        <v>459</v>
      </c>
      <c r="E329" s="2"/>
      <c r="F329" t="s">
        <v>433</v>
      </c>
      <c r="G329" t="s">
        <v>122</v>
      </c>
      <c r="H329" t="s">
        <v>122</v>
      </c>
      <c r="I329"/>
    </row>
    <row r="330" spans="1:9">
      <c r="A330" t="s">
        <v>410</v>
      </c>
      <c r="B330" s="1" t="str">
        <f>"20101367"</f>
        <v>20101367</v>
      </c>
      <c r="C330" t="s">
        <v>426</v>
      </c>
      <c r="D330" t="s">
        <v>460</v>
      </c>
      <c r="E330" s="2"/>
      <c r="F330" t="s">
        <v>336</v>
      </c>
      <c r="G330" t="s">
        <v>122</v>
      </c>
      <c r="H330" t="s">
        <v>122</v>
      </c>
      <c r="I330"/>
    </row>
    <row r="331" spans="1:9">
      <c r="A331" t="s">
        <v>410</v>
      </c>
      <c r="B331" s="1" t="str">
        <f>"20050010"</f>
        <v>20050010</v>
      </c>
      <c r="C331" t="s">
        <v>426</v>
      </c>
      <c r="D331" t="s">
        <v>461</v>
      </c>
      <c r="E331" s="2"/>
      <c r="F331" t="s">
        <v>129</v>
      </c>
      <c r="G331" t="s">
        <v>122</v>
      </c>
      <c r="H331" t="s">
        <v>122</v>
      </c>
      <c r="I331"/>
    </row>
    <row r="332" spans="1:9">
      <c r="A332" t="s">
        <v>410</v>
      </c>
      <c r="B332" s="1" t="str">
        <f>"20069148"</f>
        <v>20069148</v>
      </c>
      <c r="C332" t="s">
        <v>426</v>
      </c>
      <c r="D332" t="s">
        <v>462</v>
      </c>
      <c r="E332" s="2"/>
      <c r="F332" t="s">
        <v>443</v>
      </c>
      <c r="G332" t="s">
        <v>122</v>
      </c>
      <c r="H332" t="s">
        <v>122</v>
      </c>
      <c r="I332"/>
    </row>
    <row r="333" spans="1:9">
      <c r="A333" t="s">
        <v>410</v>
      </c>
      <c r="B333" s="1" t="str">
        <f>"20033231"</f>
        <v>20033231</v>
      </c>
      <c r="C333" t="s">
        <v>426</v>
      </c>
      <c r="D333" t="s">
        <v>463</v>
      </c>
      <c r="E333" s="2"/>
      <c r="F333" t="s">
        <v>428</v>
      </c>
      <c r="G333" t="s">
        <v>122</v>
      </c>
      <c r="H333" t="s">
        <v>122</v>
      </c>
      <c r="I333"/>
    </row>
    <row r="334" spans="1:9">
      <c r="A334" t="s">
        <v>410</v>
      </c>
      <c r="B334" s="1" t="str">
        <f>"20115258"</f>
        <v>20115258</v>
      </c>
      <c r="C334" t="s">
        <v>426</v>
      </c>
      <c r="D334" t="s">
        <v>464</v>
      </c>
      <c r="E334" s="2"/>
      <c r="F334" t="s">
        <v>443</v>
      </c>
      <c r="G334" t="s">
        <v>122</v>
      </c>
      <c r="H334" t="s">
        <v>122</v>
      </c>
      <c r="I334"/>
    </row>
    <row r="335" spans="1:9">
      <c r="A335" t="s">
        <v>410</v>
      </c>
      <c r="B335" s="1" t="str">
        <f>"20515607"</f>
        <v>20515607</v>
      </c>
      <c r="C335" t="s">
        <v>426</v>
      </c>
      <c r="D335" t="s">
        <v>465</v>
      </c>
      <c r="E335" s="2"/>
      <c r="F335" t="s">
        <v>428</v>
      </c>
      <c r="G335" t="s">
        <v>122</v>
      </c>
      <c r="H335" t="s">
        <v>122</v>
      </c>
      <c r="I335"/>
    </row>
    <row r="336" spans="1:9">
      <c r="A336" t="s">
        <v>410</v>
      </c>
      <c r="B336" s="1" t="str">
        <f>"20515591"</f>
        <v>20515591</v>
      </c>
      <c r="C336" t="s">
        <v>426</v>
      </c>
      <c r="D336" t="s">
        <v>466</v>
      </c>
      <c r="E336" s="2"/>
      <c r="F336" t="s">
        <v>433</v>
      </c>
      <c r="G336" t="s">
        <v>122</v>
      </c>
      <c r="H336" t="s">
        <v>122</v>
      </c>
      <c r="I336"/>
    </row>
    <row r="337" spans="1:9">
      <c r="A337" t="s">
        <v>410</v>
      </c>
      <c r="B337" s="1" t="str">
        <f>"20834871"</f>
        <v>20834871</v>
      </c>
      <c r="C337" t="s">
        <v>225</v>
      </c>
      <c r="D337" t="s">
        <v>467</v>
      </c>
      <c r="E337" s="2"/>
      <c r="F337" t="s">
        <v>105</v>
      </c>
      <c r="G337" t="s">
        <v>156</v>
      </c>
      <c r="H337" t="s">
        <v>156</v>
      </c>
      <c r="I337"/>
    </row>
    <row r="338" spans="1:9">
      <c r="A338" t="s">
        <v>410</v>
      </c>
      <c r="B338" s="1" t="str">
        <f>"20837594"</f>
        <v>20837594</v>
      </c>
      <c r="C338" t="s">
        <v>225</v>
      </c>
      <c r="D338" t="s">
        <v>468</v>
      </c>
      <c r="E338" s="2"/>
      <c r="F338" t="s">
        <v>433</v>
      </c>
      <c r="G338" t="s">
        <v>122</v>
      </c>
      <c r="H338" t="s">
        <v>122</v>
      </c>
      <c r="I338"/>
    </row>
    <row r="339" spans="1:9">
      <c r="A339" t="s">
        <v>410</v>
      </c>
      <c r="B339" s="1" t="str">
        <f>"20837570"</f>
        <v>20837570</v>
      </c>
      <c r="C339" t="s">
        <v>225</v>
      </c>
      <c r="D339" t="s">
        <v>469</v>
      </c>
      <c r="E339" s="2"/>
      <c r="F339" t="s">
        <v>433</v>
      </c>
      <c r="G339" t="s">
        <v>122</v>
      </c>
      <c r="H339" t="s">
        <v>122</v>
      </c>
      <c r="I339"/>
    </row>
    <row r="340" spans="1:9">
      <c r="A340" t="s">
        <v>410</v>
      </c>
      <c r="B340" s="1" t="str">
        <f>"20119120"</f>
        <v>20119120</v>
      </c>
      <c r="C340" t="s">
        <v>225</v>
      </c>
      <c r="D340" t="s">
        <v>470</v>
      </c>
      <c r="E340" s="2"/>
      <c r="F340" t="s">
        <v>428</v>
      </c>
      <c r="G340" t="s">
        <v>122</v>
      </c>
      <c r="H340" t="s">
        <v>122</v>
      </c>
      <c r="I340"/>
    </row>
    <row r="341" spans="1:9">
      <c r="A341" t="s">
        <v>410</v>
      </c>
      <c r="B341" s="1" t="str">
        <f>"21738032"</f>
        <v>21738032</v>
      </c>
      <c r="C341" t="s">
        <v>225</v>
      </c>
      <c r="D341" t="s">
        <v>471</v>
      </c>
      <c r="E341" s="2"/>
      <c r="F341" t="s">
        <v>129</v>
      </c>
      <c r="G341" t="s">
        <v>122</v>
      </c>
      <c r="H341" t="s">
        <v>156</v>
      </c>
      <c r="I341"/>
    </row>
    <row r="342" spans="1:9">
      <c r="A342" t="s">
        <v>410</v>
      </c>
      <c r="B342" s="1" t="str">
        <f>"20837532"</f>
        <v>20837532</v>
      </c>
      <c r="C342" t="s">
        <v>225</v>
      </c>
      <c r="D342" t="s">
        <v>472</v>
      </c>
      <c r="E342" s="2"/>
      <c r="F342" t="s">
        <v>428</v>
      </c>
      <c r="G342" t="s">
        <v>122</v>
      </c>
      <c r="H342" t="s">
        <v>122</v>
      </c>
      <c r="I342"/>
    </row>
    <row r="343" spans="1:9">
      <c r="A343" t="s">
        <v>410</v>
      </c>
      <c r="B343" s="1" t="str">
        <f>"20837587"</f>
        <v>20837587</v>
      </c>
      <c r="C343" t="s">
        <v>225</v>
      </c>
      <c r="D343" t="s">
        <v>473</v>
      </c>
      <c r="E343" s="2"/>
      <c r="F343" t="s">
        <v>433</v>
      </c>
      <c r="G343" t="s">
        <v>122</v>
      </c>
      <c r="H343" t="s">
        <v>122</v>
      </c>
      <c r="I343"/>
    </row>
    <row r="344" spans="1:9">
      <c r="A344" t="s">
        <v>410</v>
      </c>
      <c r="B344" s="1" t="str">
        <f>"20837556"</f>
        <v>20837556</v>
      </c>
      <c r="C344" t="s">
        <v>225</v>
      </c>
      <c r="D344" t="s">
        <v>474</v>
      </c>
      <c r="E344" s="2"/>
      <c r="F344" t="s">
        <v>433</v>
      </c>
      <c r="G344" t="s">
        <v>122</v>
      </c>
      <c r="H344" t="s">
        <v>122</v>
      </c>
      <c r="I344"/>
    </row>
    <row r="345" spans="1:9">
      <c r="A345" t="s">
        <v>410</v>
      </c>
      <c r="B345" s="1" t="str">
        <f>"20228163"</f>
        <v>20228163</v>
      </c>
      <c r="C345" t="s">
        <v>225</v>
      </c>
      <c r="D345" t="s">
        <v>475</v>
      </c>
      <c r="E345" s="2"/>
      <c r="F345" t="s">
        <v>428</v>
      </c>
      <c r="G345" t="s">
        <v>122</v>
      </c>
      <c r="H345" t="s">
        <v>122</v>
      </c>
      <c r="I345"/>
    </row>
    <row r="346" spans="1:9">
      <c r="A346" t="s">
        <v>410</v>
      </c>
      <c r="B346" s="1" t="str">
        <f>"20254827"</f>
        <v>20254827</v>
      </c>
      <c r="C346" t="s">
        <v>225</v>
      </c>
      <c r="D346" t="s">
        <v>476</v>
      </c>
      <c r="E346" s="2"/>
      <c r="F346" t="s">
        <v>428</v>
      </c>
      <c r="G346" t="s">
        <v>122</v>
      </c>
      <c r="H346" t="s">
        <v>122</v>
      </c>
      <c r="I346"/>
    </row>
    <row r="347" spans="1:9">
      <c r="A347" t="s">
        <v>410</v>
      </c>
      <c r="B347" s="1" t="str">
        <f>"20319148"</f>
        <v>20319148</v>
      </c>
      <c r="C347" t="s">
        <v>225</v>
      </c>
      <c r="D347" t="s">
        <v>477</v>
      </c>
      <c r="E347" s="2"/>
      <c r="F347" t="s">
        <v>428</v>
      </c>
      <c r="G347" t="s">
        <v>122</v>
      </c>
      <c r="H347" t="s">
        <v>122</v>
      </c>
      <c r="I347"/>
    </row>
    <row r="348" spans="1:9">
      <c r="A348" t="s">
        <v>410</v>
      </c>
      <c r="B348" s="1" t="str">
        <f>"20295455"</f>
        <v>20295455</v>
      </c>
      <c r="C348" t="s">
        <v>225</v>
      </c>
      <c r="D348" t="s">
        <v>478</v>
      </c>
      <c r="E348" s="2"/>
      <c r="F348"/>
      <c r="G348" t="s">
        <v>177</v>
      </c>
      <c r="H348" t="s">
        <v>177</v>
      </c>
      <c r="I348"/>
    </row>
    <row r="349" spans="1:9">
      <c r="A349" t="s">
        <v>410</v>
      </c>
      <c r="B349" s="1" t="str">
        <f>"20248284"</f>
        <v>20248284</v>
      </c>
      <c r="C349" t="s">
        <v>225</v>
      </c>
      <c r="D349" t="s">
        <v>479</v>
      </c>
      <c r="E349" s="2"/>
      <c r="F349" t="s">
        <v>129</v>
      </c>
      <c r="G349" t="s">
        <v>156</v>
      </c>
      <c r="H349" t="s">
        <v>156</v>
      </c>
      <c r="I349"/>
    </row>
    <row r="350" spans="1:9">
      <c r="A350" t="s">
        <v>410</v>
      </c>
      <c r="B350" s="1" t="str">
        <f>"20579456"</f>
        <v>20579456</v>
      </c>
      <c r="C350" t="s">
        <v>225</v>
      </c>
      <c r="D350" t="s">
        <v>464</v>
      </c>
      <c r="E350" s="2"/>
      <c r="F350" t="s">
        <v>129</v>
      </c>
      <c r="G350" t="s">
        <v>156</v>
      </c>
      <c r="H350" t="s">
        <v>156</v>
      </c>
      <c r="I350"/>
    </row>
    <row r="351" spans="1:9">
      <c r="A351" t="s">
        <v>410</v>
      </c>
      <c r="B351" s="1" t="str">
        <f>"20279141"</f>
        <v>20279141</v>
      </c>
      <c r="C351" t="s">
        <v>480</v>
      </c>
      <c r="D351" t="s">
        <v>481</v>
      </c>
      <c r="E351" s="2"/>
      <c r="F351" t="s">
        <v>105</v>
      </c>
      <c r="G351" t="s">
        <v>156</v>
      </c>
      <c r="H351" t="s">
        <v>156</v>
      </c>
      <c r="I351"/>
    </row>
    <row r="352" spans="1:9">
      <c r="A352" t="s">
        <v>410</v>
      </c>
      <c r="B352" s="1" t="str">
        <f>"20819583"</f>
        <v>20819583</v>
      </c>
      <c r="C352" t="s">
        <v>482</v>
      </c>
      <c r="D352" t="s">
        <v>483</v>
      </c>
      <c r="E352" s="2"/>
      <c r="F352" t="s">
        <v>428</v>
      </c>
      <c r="G352" t="s">
        <v>156</v>
      </c>
      <c r="H352" t="s">
        <v>156</v>
      </c>
      <c r="I352"/>
    </row>
    <row r="353" spans="1:9">
      <c r="A353" t="s">
        <v>410</v>
      </c>
      <c r="B353" s="1" t="str">
        <f>"20098377"</f>
        <v>20098377</v>
      </c>
      <c r="C353" t="s">
        <v>482</v>
      </c>
      <c r="D353" t="s">
        <v>484</v>
      </c>
      <c r="E353" s="2"/>
      <c r="F353" t="s">
        <v>105</v>
      </c>
      <c r="G353" t="s">
        <v>156</v>
      </c>
      <c r="H353" t="s">
        <v>156</v>
      </c>
      <c r="I353"/>
    </row>
    <row r="354" spans="1:9">
      <c r="A354" t="s">
        <v>410</v>
      </c>
      <c r="B354" s="1" t="str">
        <f>"20096793"</f>
        <v>20096793</v>
      </c>
      <c r="C354" t="s">
        <v>485</v>
      </c>
      <c r="D354" t="s">
        <v>486</v>
      </c>
      <c r="E354" s="2"/>
      <c r="F354" t="s">
        <v>31</v>
      </c>
      <c r="G354" t="s">
        <v>487</v>
      </c>
      <c r="H354" t="s">
        <v>487</v>
      </c>
      <c r="I354"/>
    </row>
    <row r="355" spans="1:9">
      <c r="A355" t="s">
        <v>410</v>
      </c>
      <c r="B355" s="1" t="str">
        <f>"20096793.2"</f>
        <v>20096793.2</v>
      </c>
      <c r="C355" t="s">
        <v>485</v>
      </c>
      <c r="D355" t="s">
        <v>486</v>
      </c>
      <c r="E355" s="2"/>
      <c r="F355" t="s">
        <v>31</v>
      </c>
      <c r="G355" t="s">
        <v>487</v>
      </c>
      <c r="H355" t="s">
        <v>383</v>
      </c>
      <c r="I355"/>
    </row>
    <row r="356" spans="1:9">
      <c r="A356" t="s">
        <v>410</v>
      </c>
      <c r="B356" s="1" t="str">
        <f>"20037963"</f>
        <v>20037963</v>
      </c>
      <c r="C356" t="s">
        <v>485</v>
      </c>
      <c r="D356" t="s">
        <v>488</v>
      </c>
      <c r="E356" s="2"/>
      <c r="F356" t="s">
        <v>31</v>
      </c>
      <c r="G356" t="s">
        <v>487</v>
      </c>
      <c r="H356" t="s">
        <v>487</v>
      </c>
      <c r="I356"/>
    </row>
    <row r="357" spans="1:9">
      <c r="A357" t="s">
        <v>410</v>
      </c>
      <c r="B357" s="1" t="str">
        <f>"20037963.2"</f>
        <v>20037963.2</v>
      </c>
      <c r="C357" t="s">
        <v>485</v>
      </c>
      <c r="D357" t="s">
        <v>488</v>
      </c>
      <c r="E357" s="2"/>
      <c r="F357" t="s">
        <v>31</v>
      </c>
      <c r="G357" t="s">
        <v>487</v>
      </c>
      <c r="H357" t="s">
        <v>383</v>
      </c>
      <c r="I357"/>
    </row>
    <row r="358" spans="1:9">
      <c r="A358" t="s">
        <v>410</v>
      </c>
      <c r="B358" s="1" t="str">
        <f>"20106751"</f>
        <v>20106751</v>
      </c>
      <c r="C358" t="s">
        <v>485</v>
      </c>
      <c r="D358" t="s">
        <v>489</v>
      </c>
      <c r="E358" s="2"/>
      <c r="F358" t="s">
        <v>31</v>
      </c>
      <c r="G358" t="s">
        <v>487</v>
      </c>
      <c r="H358" t="s">
        <v>487</v>
      </c>
      <c r="I358"/>
    </row>
    <row r="359" spans="1:9">
      <c r="A359" t="s">
        <v>410</v>
      </c>
      <c r="B359" s="1" t="str">
        <f>"20106751.2"</f>
        <v>20106751.2</v>
      </c>
      <c r="C359" t="s">
        <v>485</v>
      </c>
      <c r="D359" t="s">
        <v>489</v>
      </c>
      <c r="E359" s="2"/>
      <c r="F359" t="s">
        <v>31</v>
      </c>
      <c r="G359" t="s">
        <v>487</v>
      </c>
      <c r="H359" t="s">
        <v>383</v>
      </c>
      <c r="I359"/>
    </row>
    <row r="360" spans="1:9">
      <c r="A360" t="s">
        <v>410</v>
      </c>
      <c r="B360" s="1" t="str">
        <f>"20042844"</f>
        <v>20042844</v>
      </c>
      <c r="C360" t="s">
        <v>490</v>
      </c>
      <c r="D360" t="s">
        <v>491</v>
      </c>
      <c r="E360" s="2"/>
      <c r="F360" t="s">
        <v>492</v>
      </c>
      <c r="G360" t="s">
        <v>122</v>
      </c>
      <c r="H360" t="s">
        <v>122</v>
      </c>
      <c r="I360"/>
    </row>
    <row r="361" spans="1:9">
      <c r="A361" t="s">
        <v>410</v>
      </c>
      <c r="B361" s="1" t="str">
        <f>"20042783"</f>
        <v>20042783</v>
      </c>
      <c r="C361" t="s">
        <v>490</v>
      </c>
      <c r="D361" t="s">
        <v>493</v>
      </c>
      <c r="E361" s="2"/>
      <c r="F361" t="s">
        <v>492</v>
      </c>
      <c r="G361" t="s">
        <v>122</v>
      </c>
      <c r="H361" t="s">
        <v>122</v>
      </c>
      <c r="I361"/>
    </row>
    <row r="362" spans="1:9">
      <c r="A362" t="s">
        <v>410</v>
      </c>
      <c r="B362" s="1" t="str">
        <f>"20042806"</f>
        <v>20042806</v>
      </c>
      <c r="C362" t="s">
        <v>490</v>
      </c>
      <c r="D362" t="s">
        <v>494</v>
      </c>
      <c r="E362" s="2"/>
      <c r="F362" t="s">
        <v>492</v>
      </c>
      <c r="G362" t="s">
        <v>122</v>
      </c>
      <c r="H362" t="s">
        <v>122</v>
      </c>
      <c r="I362"/>
    </row>
    <row r="363" spans="1:9">
      <c r="A363" t="s">
        <v>410</v>
      </c>
      <c r="B363" s="1" t="str">
        <f>"20132286"</f>
        <v>20132286</v>
      </c>
      <c r="C363" t="s">
        <v>490</v>
      </c>
      <c r="D363" t="s">
        <v>495</v>
      </c>
      <c r="E363" s="2"/>
      <c r="F363" t="s">
        <v>129</v>
      </c>
      <c r="G363" t="s">
        <v>122</v>
      </c>
      <c r="H363" t="s">
        <v>122</v>
      </c>
      <c r="I363"/>
    </row>
    <row r="364" spans="1:9">
      <c r="A364" t="s">
        <v>410</v>
      </c>
      <c r="B364" s="1" t="str">
        <f>"20042776"</f>
        <v>20042776</v>
      </c>
      <c r="C364" t="s">
        <v>490</v>
      </c>
      <c r="D364" t="s">
        <v>496</v>
      </c>
      <c r="E364" s="2"/>
      <c r="F364" t="s">
        <v>492</v>
      </c>
      <c r="G364" t="s">
        <v>122</v>
      </c>
      <c r="H364" t="s">
        <v>122</v>
      </c>
      <c r="I364"/>
    </row>
    <row r="365" spans="1:9">
      <c r="A365" t="s">
        <v>410</v>
      </c>
      <c r="B365" s="1" t="str">
        <f>"20042851"</f>
        <v>20042851</v>
      </c>
      <c r="C365" t="s">
        <v>490</v>
      </c>
      <c r="D365" t="s">
        <v>474</v>
      </c>
      <c r="E365" s="2"/>
      <c r="F365" t="s">
        <v>492</v>
      </c>
      <c r="G365" t="s">
        <v>122</v>
      </c>
      <c r="H365" t="s">
        <v>122</v>
      </c>
      <c r="I365"/>
    </row>
    <row r="366" spans="1:9">
      <c r="A366" t="s">
        <v>410</v>
      </c>
      <c r="B366" s="1" t="str">
        <f>"20107802"</f>
        <v>20107802</v>
      </c>
      <c r="C366" t="s">
        <v>490</v>
      </c>
      <c r="D366" t="s">
        <v>497</v>
      </c>
      <c r="E366" s="2"/>
      <c r="F366" t="s">
        <v>448</v>
      </c>
      <c r="G366" t="s">
        <v>449</v>
      </c>
      <c r="H366" t="s">
        <v>449</v>
      </c>
      <c r="I366"/>
    </row>
    <row r="367" spans="1:9">
      <c r="A367" t="s">
        <v>410</v>
      </c>
      <c r="B367" s="1" t="str">
        <f>"20516611"</f>
        <v>20516611</v>
      </c>
      <c r="C367" t="s">
        <v>490</v>
      </c>
      <c r="D367" t="s">
        <v>498</v>
      </c>
      <c r="E367" s="2"/>
      <c r="F367" t="s">
        <v>129</v>
      </c>
      <c r="G367" t="s">
        <v>499</v>
      </c>
      <c r="H367" t="s">
        <v>499</v>
      </c>
      <c r="I367"/>
    </row>
    <row r="368" spans="1:9">
      <c r="A368" t="s">
        <v>410</v>
      </c>
      <c r="B368" s="1" t="str">
        <f>"20052027"</f>
        <v>20052027</v>
      </c>
      <c r="C368" t="s">
        <v>490</v>
      </c>
      <c r="D368" t="s">
        <v>500</v>
      </c>
      <c r="E368" s="2"/>
      <c r="F368" t="s">
        <v>492</v>
      </c>
      <c r="G368" t="s">
        <v>122</v>
      </c>
      <c r="H368" t="s">
        <v>122</v>
      </c>
      <c r="I368"/>
    </row>
    <row r="369" spans="1:9">
      <c r="A369" t="s">
        <v>410</v>
      </c>
      <c r="B369" s="1" t="str">
        <f>"20042820"</f>
        <v>20042820</v>
      </c>
      <c r="C369" t="s">
        <v>490</v>
      </c>
      <c r="D369" t="s">
        <v>501</v>
      </c>
      <c r="E369" s="2"/>
      <c r="F369" t="s">
        <v>502</v>
      </c>
      <c r="G369" t="s">
        <v>122</v>
      </c>
      <c r="H369" t="s">
        <v>122</v>
      </c>
      <c r="I369"/>
    </row>
    <row r="370" spans="1:9">
      <c r="A370" t="s">
        <v>410</v>
      </c>
      <c r="B370" s="1" t="str">
        <f>"20052164"</f>
        <v>20052164</v>
      </c>
      <c r="C370" t="s">
        <v>490</v>
      </c>
      <c r="D370" t="s">
        <v>503</v>
      </c>
      <c r="E370" s="2"/>
      <c r="F370" t="s">
        <v>492</v>
      </c>
      <c r="G370" t="s">
        <v>122</v>
      </c>
      <c r="H370" t="s">
        <v>122</v>
      </c>
      <c r="I370"/>
    </row>
    <row r="371" spans="1:9">
      <c r="A371" t="s">
        <v>410</v>
      </c>
      <c r="B371" s="1" t="str">
        <f>"20517502"</f>
        <v>20517502</v>
      </c>
      <c r="C371" t="s">
        <v>490</v>
      </c>
      <c r="D371" t="s">
        <v>504</v>
      </c>
      <c r="E371" s="2"/>
      <c r="F371" t="s">
        <v>443</v>
      </c>
      <c r="G371" t="s">
        <v>122</v>
      </c>
      <c r="H371" t="s">
        <v>122</v>
      </c>
      <c r="I371"/>
    </row>
    <row r="372" spans="1:9">
      <c r="A372" t="s">
        <v>505</v>
      </c>
      <c r="B372" s="1" t="str">
        <f>"20109806"</f>
        <v>20109806</v>
      </c>
      <c r="C372" t="s">
        <v>254</v>
      </c>
      <c r="D372" t="s">
        <v>506</v>
      </c>
      <c r="E372" s="2"/>
      <c r="F372" t="s">
        <v>79</v>
      </c>
      <c r="G372" t="s">
        <v>80</v>
      </c>
      <c r="H372" t="s">
        <v>80</v>
      </c>
      <c r="I372"/>
    </row>
    <row r="373" spans="1:9">
      <c r="A373" t="s">
        <v>505</v>
      </c>
      <c r="B373" s="1" t="str">
        <f>"20109806.2"</f>
        <v>20109806.2</v>
      </c>
      <c r="C373" t="s">
        <v>254</v>
      </c>
      <c r="D373" t="s">
        <v>506</v>
      </c>
      <c r="E373" s="2"/>
      <c r="F373" t="s">
        <v>79</v>
      </c>
      <c r="G373" t="s">
        <v>80</v>
      </c>
      <c r="H373" t="s">
        <v>218</v>
      </c>
      <c r="I373"/>
    </row>
    <row r="374" spans="1:9">
      <c r="A374" t="s">
        <v>505</v>
      </c>
      <c r="B374" s="1" t="str">
        <f>"20088507"</f>
        <v>20088507</v>
      </c>
      <c r="C374" t="s">
        <v>254</v>
      </c>
      <c r="D374" t="s">
        <v>507</v>
      </c>
      <c r="E374" s="2"/>
      <c r="F374" t="s">
        <v>79</v>
      </c>
      <c r="G374" t="s">
        <v>80</v>
      </c>
      <c r="H374" t="s">
        <v>80</v>
      </c>
      <c r="I374"/>
    </row>
    <row r="375" spans="1:9">
      <c r="A375" t="s">
        <v>505</v>
      </c>
      <c r="B375" s="1" t="str">
        <f>"20088507.2"</f>
        <v>20088507.2</v>
      </c>
      <c r="C375" t="s">
        <v>254</v>
      </c>
      <c r="D375" t="s">
        <v>507</v>
      </c>
      <c r="E375" s="2"/>
      <c r="F375" t="s">
        <v>79</v>
      </c>
      <c r="G375" t="s">
        <v>80</v>
      </c>
      <c r="H375" t="s">
        <v>218</v>
      </c>
      <c r="I375"/>
    </row>
    <row r="376" spans="1:9">
      <c r="A376" t="s">
        <v>505</v>
      </c>
      <c r="B376" s="1" t="str">
        <f>"20088859"</f>
        <v>20088859</v>
      </c>
      <c r="C376" t="s">
        <v>254</v>
      </c>
      <c r="D376" t="s">
        <v>508</v>
      </c>
      <c r="E376" s="2"/>
      <c r="F376" t="s">
        <v>31</v>
      </c>
      <c r="G376" t="s">
        <v>80</v>
      </c>
      <c r="H376" t="s">
        <v>80</v>
      </c>
      <c r="I376"/>
    </row>
    <row r="377" spans="1:9">
      <c r="A377" t="s">
        <v>505</v>
      </c>
      <c r="B377" s="1" t="str">
        <f>"20088859.2"</f>
        <v>20088859.2</v>
      </c>
      <c r="C377" t="s">
        <v>254</v>
      </c>
      <c r="D377" t="s">
        <v>508</v>
      </c>
      <c r="E377" s="2"/>
      <c r="F377" t="s">
        <v>31</v>
      </c>
      <c r="G377" t="s">
        <v>80</v>
      </c>
      <c r="H377" t="s">
        <v>218</v>
      </c>
      <c r="I377"/>
    </row>
    <row r="378" spans="1:9">
      <c r="A378" t="s">
        <v>505</v>
      </c>
      <c r="B378" s="1" t="str">
        <f>"20010393"</f>
        <v>20010393</v>
      </c>
      <c r="C378" t="s">
        <v>254</v>
      </c>
      <c r="D378" t="s">
        <v>509</v>
      </c>
      <c r="E378" s="2"/>
      <c r="F378" t="s">
        <v>48</v>
      </c>
      <c r="G378" t="s">
        <v>80</v>
      </c>
      <c r="H378" t="s">
        <v>80</v>
      </c>
      <c r="I378"/>
    </row>
    <row r="379" spans="1:9">
      <c r="A379" t="s">
        <v>505</v>
      </c>
      <c r="B379" s="1" t="str">
        <f>"20010393.2"</f>
        <v>20010393.2</v>
      </c>
      <c r="C379" t="s">
        <v>254</v>
      </c>
      <c r="D379" t="s">
        <v>509</v>
      </c>
      <c r="E379" s="2"/>
      <c r="F379" t="s">
        <v>48</v>
      </c>
      <c r="G379" t="s">
        <v>80</v>
      </c>
      <c r="H379" t="s">
        <v>218</v>
      </c>
      <c r="I379"/>
    </row>
    <row r="380" spans="1:9">
      <c r="A380" t="s">
        <v>505</v>
      </c>
      <c r="B380" s="1" t="str">
        <f>"20835088"</f>
        <v>20835088</v>
      </c>
      <c r="C380" t="s">
        <v>254</v>
      </c>
      <c r="D380" t="s">
        <v>510</v>
      </c>
      <c r="E380" s="2"/>
      <c r="F380" t="s">
        <v>46</v>
      </c>
      <c r="G380" t="s">
        <v>256</v>
      </c>
      <c r="H380" t="s">
        <v>256</v>
      </c>
      <c r="I380"/>
    </row>
    <row r="381" spans="1:9">
      <c r="A381" t="s">
        <v>505</v>
      </c>
      <c r="B381" s="1" t="str">
        <f>"20087562"</f>
        <v>20087562</v>
      </c>
      <c r="C381" t="s">
        <v>254</v>
      </c>
      <c r="D381" t="s">
        <v>511</v>
      </c>
      <c r="E381" s="2"/>
      <c r="F381" t="s">
        <v>512</v>
      </c>
      <c r="G381" t="s">
        <v>75</v>
      </c>
      <c r="H381" t="s">
        <v>75</v>
      </c>
      <c r="I381"/>
    </row>
    <row r="382" spans="1:9">
      <c r="A382" t="s">
        <v>505</v>
      </c>
      <c r="B382" s="1" t="str">
        <f>"20010317"</f>
        <v>20010317</v>
      </c>
      <c r="C382" t="s">
        <v>254</v>
      </c>
      <c r="D382" t="s">
        <v>513</v>
      </c>
      <c r="E382" s="2"/>
      <c r="F382" t="s">
        <v>31</v>
      </c>
      <c r="G382" t="s">
        <v>80</v>
      </c>
      <c r="H382" t="s">
        <v>80</v>
      </c>
      <c r="I382"/>
    </row>
    <row r="383" spans="1:9">
      <c r="A383" t="s">
        <v>505</v>
      </c>
      <c r="B383" s="1" t="str">
        <f>"20010317.2"</f>
        <v>20010317.2</v>
      </c>
      <c r="C383" t="s">
        <v>254</v>
      </c>
      <c r="D383" t="s">
        <v>513</v>
      </c>
      <c r="E383" s="2"/>
      <c r="F383" t="s">
        <v>31</v>
      </c>
      <c r="G383" t="s">
        <v>80</v>
      </c>
      <c r="H383" t="s">
        <v>218</v>
      </c>
      <c r="I383"/>
    </row>
    <row r="384" spans="1:9">
      <c r="A384" t="s">
        <v>505</v>
      </c>
      <c r="B384" s="1" t="str">
        <f>"20073176"</f>
        <v>20073176</v>
      </c>
      <c r="C384" t="s">
        <v>254</v>
      </c>
      <c r="D384" t="s">
        <v>514</v>
      </c>
      <c r="E384" s="2"/>
      <c r="F384" t="s">
        <v>68</v>
      </c>
      <c r="G384" t="s">
        <v>227</v>
      </c>
      <c r="H384" t="s">
        <v>227</v>
      </c>
      <c r="I384"/>
    </row>
    <row r="385" spans="1:9">
      <c r="A385" t="s">
        <v>505</v>
      </c>
      <c r="B385" s="1" t="str">
        <f>"20073176.2"</f>
        <v>20073176.2</v>
      </c>
      <c r="C385" t="s">
        <v>254</v>
      </c>
      <c r="D385" t="s">
        <v>514</v>
      </c>
      <c r="E385" s="2"/>
      <c r="F385" t="s">
        <v>68</v>
      </c>
      <c r="G385" t="s">
        <v>227</v>
      </c>
      <c r="H385" t="s">
        <v>218</v>
      </c>
      <c r="I385"/>
    </row>
    <row r="386" spans="1:9">
      <c r="A386" t="s">
        <v>505</v>
      </c>
      <c r="B386" s="1" t="str">
        <f>"20174545"</f>
        <v>20174545</v>
      </c>
      <c r="C386" t="s">
        <v>254</v>
      </c>
      <c r="D386" t="s">
        <v>515</v>
      </c>
      <c r="E386" s="2"/>
      <c r="F386" t="s">
        <v>48</v>
      </c>
      <c r="G386" t="s">
        <v>516</v>
      </c>
      <c r="H386" t="s">
        <v>516</v>
      </c>
      <c r="I386"/>
    </row>
    <row r="387" spans="1:9">
      <c r="A387" t="s">
        <v>505</v>
      </c>
      <c r="B387" s="1" t="str">
        <f>"20174545.2"</f>
        <v>20174545.2</v>
      </c>
      <c r="C387" t="s">
        <v>254</v>
      </c>
      <c r="D387" t="s">
        <v>515</v>
      </c>
      <c r="E387" s="2"/>
      <c r="F387" t="s">
        <v>48</v>
      </c>
      <c r="G387" t="s">
        <v>516</v>
      </c>
      <c r="H387" t="s">
        <v>517</v>
      </c>
      <c r="I387"/>
    </row>
    <row r="388" spans="1:9">
      <c r="A388" t="s">
        <v>505</v>
      </c>
      <c r="B388" s="1" t="str">
        <f>"20223442"</f>
        <v>20223442</v>
      </c>
      <c r="C388" t="s">
        <v>254</v>
      </c>
      <c r="D388" t="s">
        <v>518</v>
      </c>
      <c r="E388" s="2"/>
      <c r="F388" t="s">
        <v>68</v>
      </c>
      <c r="G388" t="s">
        <v>177</v>
      </c>
      <c r="H388" t="s">
        <v>177</v>
      </c>
      <c r="I388"/>
    </row>
    <row r="389" spans="1:9">
      <c r="A389" t="s">
        <v>505</v>
      </c>
      <c r="B389" s="1" t="str">
        <f>"20223442.2"</f>
        <v>20223442.2</v>
      </c>
      <c r="C389" t="s">
        <v>254</v>
      </c>
      <c r="D389" t="s">
        <v>518</v>
      </c>
      <c r="E389" s="2"/>
      <c r="F389" t="s">
        <v>68</v>
      </c>
      <c r="G389" t="s">
        <v>177</v>
      </c>
      <c r="H389" t="s">
        <v>218</v>
      </c>
      <c r="I389"/>
    </row>
    <row r="390" spans="1:9">
      <c r="A390" t="s">
        <v>505</v>
      </c>
      <c r="B390" s="1" t="str">
        <f>"20223427"</f>
        <v>20223427</v>
      </c>
      <c r="C390" t="s">
        <v>254</v>
      </c>
      <c r="D390" t="s">
        <v>519</v>
      </c>
      <c r="E390" s="2"/>
      <c r="F390" t="s">
        <v>48</v>
      </c>
      <c r="G390" t="s">
        <v>80</v>
      </c>
      <c r="H390" t="s">
        <v>80</v>
      </c>
      <c r="I390"/>
    </row>
    <row r="391" spans="1:9">
      <c r="A391" t="s">
        <v>505</v>
      </c>
      <c r="B391" s="1" t="str">
        <f>"20223427.2"</f>
        <v>20223427.2</v>
      </c>
      <c r="C391" t="s">
        <v>254</v>
      </c>
      <c r="D391" t="s">
        <v>519</v>
      </c>
      <c r="E391" s="2"/>
      <c r="F391" t="s">
        <v>48</v>
      </c>
      <c r="G391" t="s">
        <v>80</v>
      </c>
      <c r="H391" t="s">
        <v>218</v>
      </c>
      <c r="I391"/>
    </row>
    <row r="392" spans="1:9">
      <c r="A392" t="s">
        <v>505</v>
      </c>
      <c r="B392" s="1" t="str">
        <f>"20223443"</f>
        <v>20223443</v>
      </c>
      <c r="C392" t="s">
        <v>254</v>
      </c>
      <c r="D392" t="s">
        <v>520</v>
      </c>
      <c r="E392" s="2"/>
      <c r="F392" t="s">
        <v>31</v>
      </c>
      <c r="G392" t="s">
        <v>80</v>
      </c>
      <c r="H392" t="s">
        <v>80</v>
      </c>
      <c r="I392"/>
    </row>
    <row r="393" spans="1:9">
      <c r="A393" t="s">
        <v>505</v>
      </c>
      <c r="B393" s="1" t="str">
        <f>"20223443.2"</f>
        <v>20223443.2</v>
      </c>
      <c r="C393" t="s">
        <v>254</v>
      </c>
      <c r="D393" t="s">
        <v>520</v>
      </c>
      <c r="E393" s="2"/>
      <c r="F393" t="s">
        <v>31</v>
      </c>
      <c r="G393" t="s">
        <v>80</v>
      </c>
      <c r="H393" t="s">
        <v>218</v>
      </c>
      <c r="I393"/>
    </row>
    <row r="394" spans="1:9">
      <c r="A394" t="s">
        <v>505</v>
      </c>
      <c r="B394" s="1" t="str">
        <f>"20223441"</f>
        <v>20223441</v>
      </c>
      <c r="C394" t="s">
        <v>254</v>
      </c>
      <c r="D394" t="s">
        <v>521</v>
      </c>
      <c r="E394" s="2"/>
      <c r="F394" t="s">
        <v>31</v>
      </c>
      <c r="G394" t="s">
        <v>80</v>
      </c>
      <c r="H394" t="s">
        <v>80</v>
      </c>
      <c r="I394"/>
    </row>
    <row r="395" spans="1:9">
      <c r="A395" t="s">
        <v>505</v>
      </c>
      <c r="B395" s="1" t="str">
        <f>"20223441.2"</f>
        <v>20223441.2</v>
      </c>
      <c r="C395" t="s">
        <v>254</v>
      </c>
      <c r="D395" t="s">
        <v>521</v>
      </c>
      <c r="E395" s="2"/>
      <c r="F395" t="s">
        <v>31</v>
      </c>
      <c r="G395" t="s">
        <v>80</v>
      </c>
      <c r="H395" t="s">
        <v>218</v>
      </c>
      <c r="I395"/>
    </row>
    <row r="396" spans="1:9">
      <c r="A396" t="s">
        <v>505</v>
      </c>
      <c r="B396" s="1" t="str">
        <f>"20088415"</f>
        <v>20088415</v>
      </c>
      <c r="C396" t="s">
        <v>254</v>
      </c>
      <c r="D396" t="s">
        <v>522</v>
      </c>
      <c r="E396" s="2"/>
      <c r="F396" t="s">
        <v>68</v>
      </c>
      <c r="G396" t="s">
        <v>177</v>
      </c>
      <c r="H396" t="s">
        <v>177</v>
      </c>
      <c r="I396"/>
    </row>
    <row r="397" spans="1:9">
      <c r="A397" t="s">
        <v>505</v>
      </c>
      <c r="B397" s="1" t="str">
        <f>"20088415.2"</f>
        <v>20088415.2</v>
      </c>
      <c r="C397" t="s">
        <v>254</v>
      </c>
      <c r="D397" t="s">
        <v>522</v>
      </c>
      <c r="E397" s="2"/>
      <c r="F397" t="s">
        <v>68</v>
      </c>
      <c r="G397" t="s">
        <v>177</v>
      </c>
      <c r="H397" t="s">
        <v>218</v>
      </c>
      <c r="I397"/>
    </row>
    <row r="398" spans="1:9">
      <c r="A398" t="s">
        <v>505</v>
      </c>
      <c r="B398" s="1" t="str">
        <f>"20037345"</f>
        <v>20037345</v>
      </c>
      <c r="C398" t="s">
        <v>254</v>
      </c>
      <c r="D398" t="s">
        <v>523</v>
      </c>
      <c r="E398" s="2"/>
      <c r="F398" t="s">
        <v>31</v>
      </c>
      <c r="G398" t="s">
        <v>80</v>
      </c>
      <c r="H398" t="s">
        <v>80</v>
      </c>
      <c r="I398"/>
    </row>
    <row r="399" spans="1:9">
      <c r="A399" t="s">
        <v>505</v>
      </c>
      <c r="B399" s="1" t="str">
        <f>"20037345.2"</f>
        <v>20037345.2</v>
      </c>
      <c r="C399" t="s">
        <v>254</v>
      </c>
      <c r="D399" t="s">
        <v>523</v>
      </c>
      <c r="E399" s="2"/>
      <c r="F399" t="s">
        <v>31</v>
      </c>
      <c r="G399" t="s">
        <v>80</v>
      </c>
      <c r="H399" t="s">
        <v>218</v>
      </c>
      <c r="I399"/>
    </row>
    <row r="400" spans="1:9">
      <c r="A400" t="s">
        <v>505</v>
      </c>
      <c r="B400" s="1" t="str">
        <f>"20056254"</f>
        <v>20056254</v>
      </c>
      <c r="C400" t="s">
        <v>254</v>
      </c>
      <c r="D400" t="s">
        <v>524</v>
      </c>
      <c r="E400" s="2"/>
      <c r="F400" t="s">
        <v>31</v>
      </c>
      <c r="G400" t="s">
        <v>80</v>
      </c>
      <c r="H400" t="s">
        <v>80</v>
      </c>
      <c r="I400"/>
    </row>
    <row r="401" spans="1:9">
      <c r="A401" t="s">
        <v>505</v>
      </c>
      <c r="B401" s="1" t="str">
        <f>"20056254.2"</f>
        <v>20056254.2</v>
      </c>
      <c r="C401" t="s">
        <v>254</v>
      </c>
      <c r="D401" t="s">
        <v>524</v>
      </c>
      <c r="E401" s="2"/>
      <c r="F401" t="s">
        <v>31</v>
      </c>
      <c r="G401" t="s">
        <v>80</v>
      </c>
      <c r="H401" t="s">
        <v>218</v>
      </c>
      <c r="I401"/>
    </row>
    <row r="402" spans="1:9">
      <c r="A402" t="s">
        <v>505</v>
      </c>
      <c r="B402" s="1" t="str">
        <f>"20073077"</f>
        <v>20073077</v>
      </c>
      <c r="C402" t="s">
        <v>254</v>
      </c>
      <c r="D402" t="s">
        <v>525</v>
      </c>
      <c r="E402" s="2"/>
      <c r="F402" t="s">
        <v>31</v>
      </c>
      <c r="G402" t="s">
        <v>80</v>
      </c>
      <c r="H402" t="s">
        <v>80</v>
      </c>
      <c r="I402"/>
    </row>
    <row r="403" spans="1:9">
      <c r="A403" t="s">
        <v>505</v>
      </c>
      <c r="B403" s="1" t="str">
        <f>"20073077.2"</f>
        <v>20073077.2</v>
      </c>
      <c r="C403" t="s">
        <v>254</v>
      </c>
      <c r="D403" t="s">
        <v>525</v>
      </c>
      <c r="E403" s="2"/>
      <c r="F403" t="s">
        <v>31</v>
      </c>
      <c r="G403" t="s">
        <v>80</v>
      </c>
      <c r="H403" t="s">
        <v>218</v>
      </c>
      <c r="I403"/>
    </row>
    <row r="404" spans="1:9">
      <c r="A404" t="s">
        <v>505</v>
      </c>
      <c r="B404" s="1" t="str">
        <f>"20074784"</f>
        <v>20074784</v>
      </c>
      <c r="C404" t="s">
        <v>254</v>
      </c>
      <c r="D404" t="s">
        <v>526</v>
      </c>
      <c r="E404" s="2"/>
      <c r="F404" t="s">
        <v>31</v>
      </c>
      <c r="G404" t="s">
        <v>80</v>
      </c>
      <c r="H404" t="s">
        <v>80</v>
      </c>
      <c r="I404"/>
    </row>
    <row r="405" spans="1:9">
      <c r="A405" t="s">
        <v>505</v>
      </c>
      <c r="B405" s="1" t="str">
        <f>"20074784.2"</f>
        <v>20074784.2</v>
      </c>
      <c r="C405" t="s">
        <v>254</v>
      </c>
      <c r="D405" t="s">
        <v>526</v>
      </c>
      <c r="E405" s="2"/>
      <c r="F405" t="s">
        <v>31</v>
      </c>
      <c r="G405" t="s">
        <v>80</v>
      </c>
      <c r="H405" t="s">
        <v>218</v>
      </c>
      <c r="I405"/>
    </row>
    <row r="406" spans="1:9">
      <c r="A406" t="s">
        <v>505</v>
      </c>
      <c r="B406" s="1" t="str">
        <f>"20109813"</f>
        <v>20109813</v>
      </c>
      <c r="C406" t="s">
        <v>254</v>
      </c>
      <c r="D406" t="s">
        <v>527</v>
      </c>
      <c r="E406" s="2"/>
      <c r="F406" t="s">
        <v>528</v>
      </c>
      <c r="G406" t="s">
        <v>13</v>
      </c>
      <c r="H406" t="s">
        <v>80</v>
      </c>
      <c r="I406"/>
    </row>
    <row r="407" spans="1:9">
      <c r="A407" t="s">
        <v>505</v>
      </c>
      <c r="B407" s="1" t="str">
        <f>"20048594"</f>
        <v>20048594</v>
      </c>
      <c r="C407" t="s">
        <v>254</v>
      </c>
      <c r="D407" t="s">
        <v>529</v>
      </c>
      <c r="E407" s="2"/>
      <c r="F407" t="s">
        <v>31</v>
      </c>
      <c r="G407" t="s">
        <v>13</v>
      </c>
      <c r="H407" t="s">
        <v>80</v>
      </c>
      <c r="I407"/>
    </row>
    <row r="408" spans="1:9">
      <c r="A408" t="s">
        <v>505</v>
      </c>
      <c r="B408" s="1" t="str">
        <f>"20102150"</f>
        <v>20102150</v>
      </c>
      <c r="C408" t="s">
        <v>254</v>
      </c>
      <c r="D408" t="s">
        <v>530</v>
      </c>
      <c r="E408" s="2"/>
      <c r="F408"/>
      <c r="G408" t="s">
        <v>177</v>
      </c>
      <c r="H408" t="s">
        <v>177</v>
      </c>
      <c r="I408"/>
    </row>
    <row r="409" spans="1:9">
      <c r="A409" t="s">
        <v>505</v>
      </c>
      <c r="B409" s="1" t="str">
        <f>"20102150.2"</f>
        <v>20102150.2</v>
      </c>
      <c r="C409" t="s">
        <v>254</v>
      </c>
      <c r="D409" t="s">
        <v>530</v>
      </c>
      <c r="E409" s="2"/>
      <c r="F409"/>
      <c r="G409" t="s">
        <v>177</v>
      </c>
      <c r="H409" t="s">
        <v>218</v>
      </c>
      <c r="I409"/>
    </row>
    <row r="410" spans="1:9">
      <c r="A410" t="s">
        <v>505</v>
      </c>
      <c r="B410" s="1" t="str">
        <f>"20102133"</f>
        <v>20102133</v>
      </c>
      <c r="C410" t="s">
        <v>254</v>
      </c>
      <c r="D410" t="s">
        <v>531</v>
      </c>
      <c r="E410" s="2"/>
      <c r="F410"/>
      <c r="G410" t="s">
        <v>177</v>
      </c>
      <c r="H410" t="s">
        <v>177</v>
      </c>
      <c r="I410"/>
    </row>
    <row r="411" spans="1:9">
      <c r="A411" t="s">
        <v>505</v>
      </c>
      <c r="B411" s="1" t="str">
        <f>"20102133.2"</f>
        <v>20102133.2</v>
      </c>
      <c r="C411" t="s">
        <v>254</v>
      </c>
      <c r="D411" t="s">
        <v>531</v>
      </c>
      <c r="E411" s="2"/>
      <c r="F411"/>
      <c r="G411" t="s">
        <v>177</v>
      </c>
      <c r="H411" t="s">
        <v>218</v>
      </c>
      <c r="I411"/>
    </row>
    <row r="412" spans="1:9">
      <c r="A412" t="s">
        <v>505</v>
      </c>
      <c r="B412" s="1" t="str">
        <f>"20619213"</f>
        <v>20619213</v>
      </c>
      <c r="C412" t="s">
        <v>254</v>
      </c>
      <c r="D412" t="s">
        <v>532</v>
      </c>
      <c r="E412" s="2"/>
      <c r="F412" t="s">
        <v>46</v>
      </c>
      <c r="G412" t="s">
        <v>533</v>
      </c>
      <c r="H412" t="s">
        <v>533</v>
      </c>
      <c r="I412"/>
    </row>
    <row r="413" spans="1:9">
      <c r="A413" t="s">
        <v>505</v>
      </c>
      <c r="B413" s="1" t="str">
        <f>"20619213.2"</f>
        <v>20619213.2</v>
      </c>
      <c r="C413" t="s">
        <v>254</v>
      </c>
      <c r="D413" t="s">
        <v>532</v>
      </c>
      <c r="E413" s="2"/>
      <c r="F413" t="s">
        <v>46</v>
      </c>
      <c r="G413" t="s">
        <v>533</v>
      </c>
      <c r="H413" t="s">
        <v>517</v>
      </c>
      <c r="I413"/>
    </row>
    <row r="414" spans="1:9">
      <c r="A414" t="s">
        <v>505</v>
      </c>
      <c r="B414" s="1" t="str">
        <f>"20109776"</f>
        <v>20109776</v>
      </c>
      <c r="C414" t="s">
        <v>254</v>
      </c>
      <c r="D414" t="s">
        <v>534</v>
      </c>
      <c r="E414" s="2"/>
      <c r="F414" t="s">
        <v>31</v>
      </c>
      <c r="G414" t="s">
        <v>80</v>
      </c>
      <c r="H414" t="s">
        <v>80</v>
      </c>
      <c r="I414"/>
    </row>
    <row r="415" spans="1:9">
      <c r="A415" t="s">
        <v>505</v>
      </c>
      <c r="B415" s="1" t="str">
        <f>"20109776.2"</f>
        <v>20109776.2</v>
      </c>
      <c r="C415" t="s">
        <v>254</v>
      </c>
      <c r="D415" t="s">
        <v>534</v>
      </c>
      <c r="E415" s="2"/>
      <c r="F415" t="s">
        <v>31</v>
      </c>
      <c r="G415" t="s">
        <v>80</v>
      </c>
      <c r="H415" t="s">
        <v>218</v>
      </c>
      <c r="I415"/>
    </row>
    <row r="416" spans="1:9">
      <c r="A416" t="s">
        <v>505</v>
      </c>
      <c r="B416" s="1" t="str">
        <f>"20055202"</f>
        <v>20055202</v>
      </c>
      <c r="C416" t="s">
        <v>254</v>
      </c>
      <c r="D416" t="s">
        <v>535</v>
      </c>
      <c r="E416" s="2"/>
      <c r="F416" t="s">
        <v>31</v>
      </c>
      <c r="G416" t="s">
        <v>536</v>
      </c>
      <c r="H416" t="s">
        <v>536</v>
      </c>
      <c r="I416"/>
    </row>
    <row r="417" spans="1:9">
      <c r="A417" t="s">
        <v>505</v>
      </c>
      <c r="B417" s="1" t="str">
        <f>"20055202.2"</f>
        <v>20055202.2</v>
      </c>
      <c r="C417" t="s">
        <v>254</v>
      </c>
      <c r="D417" t="s">
        <v>535</v>
      </c>
      <c r="E417" s="2"/>
      <c r="F417" t="s">
        <v>31</v>
      </c>
      <c r="G417" t="s">
        <v>536</v>
      </c>
      <c r="H417" t="s">
        <v>218</v>
      </c>
      <c r="I417"/>
    </row>
    <row r="418" spans="1:9">
      <c r="A418" t="s">
        <v>505</v>
      </c>
      <c r="B418" s="1" t="str">
        <f>"20099114"</f>
        <v>20099114</v>
      </c>
      <c r="C418" t="s">
        <v>254</v>
      </c>
      <c r="D418" t="s">
        <v>537</v>
      </c>
      <c r="E418" s="2"/>
      <c r="F418" t="s">
        <v>79</v>
      </c>
      <c r="G418" t="s">
        <v>80</v>
      </c>
      <c r="H418" t="s">
        <v>80</v>
      </c>
      <c r="I418"/>
    </row>
    <row r="419" spans="1:9">
      <c r="A419" t="s">
        <v>505</v>
      </c>
      <c r="B419" s="1" t="str">
        <f>"20099114.2"</f>
        <v>20099114.2</v>
      </c>
      <c r="C419" t="s">
        <v>254</v>
      </c>
      <c r="D419" t="s">
        <v>537</v>
      </c>
      <c r="E419" s="2"/>
      <c r="F419" t="s">
        <v>79</v>
      </c>
      <c r="G419" t="s">
        <v>80</v>
      </c>
      <c r="H419" t="s">
        <v>218</v>
      </c>
      <c r="I419"/>
    </row>
    <row r="420" spans="1:9">
      <c r="A420" t="s">
        <v>505</v>
      </c>
      <c r="B420" s="1" t="str">
        <f>"20272630"</f>
        <v>20272630</v>
      </c>
      <c r="C420" t="s">
        <v>538</v>
      </c>
      <c r="D420" t="s">
        <v>539</v>
      </c>
      <c r="E420" s="2"/>
      <c r="F420" t="s">
        <v>90</v>
      </c>
      <c r="G420" t="s">
        <v>80</v>
      </c>
      <c r="H420" t="s">
        <v>80</v>
      </c>
      <c r="I420"/>
    </row>
    <row r="421" spans="1:9">
      <c r="A421" t="s">
        <v>505</v>
      </c>
      <c r="B421" s="1" t="str">
        <f>"20272630.2"</f>
        <v>20272630.2</v>
      </c>
      <c r="C421" t="s">
        <v>538</v>
      </c>
      <c r="D421" t="s">
        <v>539</v>
      </c>
      <c r="E421" s="2"/>
      <c r="F421" t="s">
        <v>90</v>
      </c>
      <c r="G421" t="s">
        <v>80</v>
      </c>
      <c r="H421" t="s">
        <v>218</v>
      </c>
      <c r="I421"/>
    </row>
    <row r="422" spans="1:9">
      <c r="A422" t="s">
        <v>505</v>
      </c>
      <c r="B422" s="1" t="str">
        <f>"20239206"</f>
        <v>20239206</v>
      </c>
      <c r="C422" t="s">
        <v>215</v>
      </c>
      <c r="D422" t="s">
        <v>540</v>
      </c>
      <c r="E422" s="2"/>
      <c r="F422" t="s">
        <v>90</v>
      </c>
      <c r="G422" t="s">
        <v>243</v>
      </c>
      <c r="H422" t="s">
        <v>243</v>
      </c>
      <c r="I422"/>
    </row>
    <row r="423" spans="1:9">
      <c r="A423" t="s">
        <v>505</v>
      </c>
      <c r="B423" s="1" t="str">
        <f>"20239206.2"</f>
        <v>20239206.2</v>
      </c>
      <c r="C423" t="s">
        <v>215</v>
      </c>
      <c r="D423" t="s">
        <v>540</v>
      </c>
      <c r="E423" s="2"/>
      <c r="F423" t="s">
        <v>90</v>
      </c>
      <c r="G423" t="s">
        <v>243</v>
      </c>
      <c r="H423" t="s">
        <v>218</v>
      </c>
      <c r="I423"/>
    </row>
    <row r="424" spans="1:9">
      <c r="A424" t="s">
        <v>505</v>
      </c>
      <c r="B424" s="1" t="str">
        <f>"20343868"</f>
        <v>20343868</v>
      </c>
      <c r="C424" t="s">
        <v>541</v>
      </c>
      <c r="D424" t="s">
        <v>542</v>
      </c>
      <c r="E424" s="2"/>
      <c r="F424" t="s">
        <v>68</v>
      </c>
      <c r="G424" t="s">
        <v>322</v>
      </c>
      <c r="H424" t="s">
        <v>322</v>
      </c>
      <c r="I424"/>
    </row>
    <row r="425" spans="1:9">
      <c r="A425" t="s">
        <v>505</v>
      </c>
      <c r="B425" s="1" t="str">
        <f>"20343868.2"</f>
        <v>20343868.2</v>
      </c>
      <c r="C425" t="s">
        <v>541</v>
      </c>
      <c r="D425" t="s">
        <v>542</v>
      </c>
      <c r="E425" s="2"/>
      <c r="F425" t="s">
        <v>68</v>
      </c>
      <c r="G425" t="s">
        <v>322</v>
      </c>
      <c r="H425" t="s">
        <v>218</v>
      </c>
      <c r="I425"/>
    </row>
    <row r="426" spans="1:9">
      <c r="A426" t="s">
        <v>505</v>
      </c>
      <c r="B426" s="1" t="str">
        <f>"20184506"</f>
        <v>20184506</v>
      </c>
      <c r="C426" t="s">
        <v>541</v>
      </c>
      <c r="D426" t="s">
        <v>543</v>
      </c>
      <c r="E426" s="2"/>
      <c r="F426" t="s">
        <v>68</v>
      </c>
      <c r="G426" t="s">
        <v>322</v>
      </c>
      <c r="H426" t="s">
        <v>322</v>
      </c>
      <c r="I426"/>
    </row>
    <row r="427" spans="1:9">
      <c r="A427" t="s">
        <v>505</v>
      </c>
      <c r="B427" s="1" t="str">
        <f>"20184506.2"</f>
        <v>20184506.2</v>
      </c>
      <c r="C427" t="s">
        <v>541</v>
      </c>
      <c r="D427" t="s">
        <v>543</v>
      </c>
      <c r="E427" s="2"/>
      <c r="F427" t="s">
        <v>68</v>
      </c>
      <c r="G427" t="s">
        <v>322</v>
      </c>
      <c r="H427" t="s">
        <v>218</v>
      </c>
      <c r="I427"/>
    </row>
    <row r="428" spans="1:9">
      <c r="A428" t="s">
        <v>505</v>
      </c>
      <c r="B428" s="1" t="str">
        <f>"20273583"</f>
        <v>20273583</v>
      </c>
      <c r="C428" t="s">
        <v>541</v>
      </c>
      <c r="D428" t="s">
        <v>544</v>
      </c>
      <c r="E428" s="2"/>
      <c r="F428" t="s">
        <v>68</v>
      </c>
      <c r="G428" t="s">
        <v>243</v>
      </c>
      <c r="H428" t="s">
        <v>243</v>
      </c>
      <c r="I428"/>
    </row>
    <row r="429" spans="1:9">
      <c r="A429" t="s">
        <v>505</v>
      </c>
      <c r="B429" s="1" t="str">
        <f>"20273583.2"</f>
        <v>20273583.2</v>
      </c>
      <c r="C429" t="s">
        <v>541</v>
      </c>
      <c r="D429" t="s">
        <v>544</v>
      </c>
      <c r="E429" s="2"/>
      <c r="F429" t="s">
        <v>68</v>
      </c>
      <c r="G429" t="s">
        <v>243</v>
      </c>
      <c r="H429" t="s">
        <v>218</v>
      </c>
      <c r="I429"/>
    </row>
    <row r="430" spans="1:9">
      <c r="A430" t="s">
        <v>505</v>
      </c>
      <c r="B430" s="1" t="str">
        <f>"20837662"</f>
        <v>20837662</v>
      </c>
      <c r="C430" t="s">
        <v>545</v>
      </c>
      <c r="D430" t="s">
        <v>546</v>
      </c>
      <c r="E430" s="2"/>
      <c r="F430" t="s">
        <v>547</v>
      </c>
      <c r="G430" t="s">
        <v>227</v>
      </c>
      <c r="H430" t="s">
        <v>227</v>
      </c>
      <c r="I430"/>
    </row>
    <row r="431" spans="1:9">
      <c r="A431" t="s">
        <v>505</v>
      </c>
      <c r="B431" s="1" t="str">
        <f>"20080501"</f>
        <v>20080501</v>
      </c>
      <c r="C431" t="s">
        <v>545</v>
      </c>
      <c r="D431" t="s">
        <v>548</v>
      </c>
      <c r="E431" s="2"/>
      <c r="F431" t="s">
        <v>549</v>
      </c>
      <c r="G431" t="s">
        <v>322</v>
      </c>
      <c r="H431" t="s">
        <v>322</v>
      </c>
      <c r="I431"/>
    </row>
    <row r="432" spans="1:9">
      <c r="A432" t="s">
        <v>505</v>
      </c>
      <c r="B432" s="1" t="str">
        <f>"20080501.2"</f>
        <v>20080501.2</v>
      </c>
      <c r="C432" t="s">
        <v>545</v>
      </c>
      <c r="D432" t="s">
        <v>548</v>
      </c>
      <c r="E432" s="2"/>
      <c r="F432" t="s">
        <v>549</v>
      </c>
      <c r="G432" t="s">
        <v>322</v>
      </c>
      <c r="H432" t="s">
        <v>218</v>
      </c>
      <c r="I432"/>
    </row>
    <row r="433" spans="1:9">
      <c r="A433" t="s">
        <v>505</v>
      </c>
      <c r="B433" s="1" t="str">
        <f>"20046521"</f>
        <v>20046521</v>
      </c>
      <c r="C433" t="s">
        <v>545</v>
      </c>
      <c r="D433" t="s">
        <v>550</v>
      </c>
      <c r="E433" s="2"/>
      <c r="F433" t="s">
        <v>105</v>
      </c>
      <c r="G433" t="s">
        <v>551</v>
      </c>
      <c r="H433" t="s">
        <v>551</v>
      </c>
      <c r="I433"/>
    </row>
    <row r="434" spans="1:9">
      <c r="A434" t="s">
        <v>505</v>
      </c>
      <c r="B434" s="1" t="str">
        <f>"20046521.2"</f>
        <v>20046521.2</v>
      </c>
      <c r="C434" t="s">
        <v>545</v>
      </c>
      <c r="D434" t="s">
        <v>550</v>
      </c>
      <c r="E434" s="2"/>
      <c r="F434" t="s">
        <v>105</v>
      </c>
      <c r="G434" t="s">
        <v>551</v>
      </c>
      <c r="H434" t="s">
        <v>218</v>
      </c>
      <c r="I434"/>
    </row>
    <row r="435" spans="1:9">
      <c r="A435" t="s">
        <v>505</v>
      </c>
      <c r="B435" s="1" t="str">
        <f>"20051587"</f>
        <v>20051587</v>
      </c>
      <c r="C435" t="s">
        <v>545</v>
      </c>
      <c r="D435" t="s">
        <v>552</v>
      </c>
      <c r="E435" s="2"/>
      <c r="F435" t="s">
        <v>553</v>
      </c>
      <c r="G435" t="s">
        <v>299</v>
      </c>
      <c r="H435" t="s">
        <v>299</v>
      </c>
      <c r="I435"/>
    </row>
    <row r="436" spans="1:9">
      <c r="A436" t="s">
        <v>505</v>
      </c>
      <c r="B436" s="1" t="str">
        <f>"20051587.2"</f>
        <v>20051587.2</v>
      </c>
      <c r="C436" t="s">
        <v>545</v>
      </c>
      <c r="D436" t="s">
        <v>552</v>
      </c>
      <c r="E436" s="2"/>
      <c r="F436" t="s">
        <v>553</v>
      </c>
      <c r="G436" t="s">
        <v>299</v>
      </c>
      <c r="H436" t="s">
        <v>218</v>
      </c>
      <c r="I436"/>
    </row>
    <row r="437" spans="1:9">
      <c r="A437" t="s">
        <v>505</v>
      </c>
      <c r="B437" s="1" t="str">
        <f>"20250799"</f>
        <v>20250799</v>
      </c>
      <c r="C437" t="s">
        <v>554</v>
      </c>
      <c r="D437" t="s">
        <v>555</v>
      </c>
      <c r="E437" s="2"/>
      <c r="F437" t="s">
        <v>79</v>
      </c>
      <c r="G437" t="s">
        <v>299</v>
      </c>
      <c r="H437" t="s">
        <v>299</v>
      </c>
      <c r="I437"/>
    </row>
    <row r="438" spans="1:9">
      <c r="A438" t="s">
        <v>505</v>
      </c>
      <c r="B438" s="1" t="str">
        <f>"20250799.2"</f>
        <v>20250799.2</v>
      </c>
      <c r="C438" t="s">
        <v>554</v>
      </c>
      <c r="D438" t="s">
        <v>555</v>
      </c>
      <c r="E438" s="2"/>
      <c r="F438" t="s">
        <v>79</v>
      </c>
      <c r="G438" t="s">
        <v>299</v>
      </c>
      <c r="H438" t="s">
        <v>218</v>
      </c>
      <c r="I438"/>
    </row>
    <row r="439" spans="1:9">
      <c r="A439" t="s">
        <v>505</v>
      </c>
      <c r="B439" s="1" t="str">
        <f>"20018949"</f>
        <v>20018949</v>
      </c>
      <c r="C439" t="s">
        <v>209</v>
      </c>
      <c r="D439" t="s">
        <v>556</v>
      </c>
      <c r="E439" s="2"/>
      <c r="F439" t="s">
        <v>48</v>
      </c>
      <c r="G439" t="s">
        <v>80</v>
      </c>
      <c r="H439" t="s">
        <v>299</v>
      </c>
      <c r="I439"/>
    </row>
    <row r="440" spans="1:9">
      <c r="A440" t="s">
        <v>505</v>
      </c>
      <c r="B440" s="1" t="str">
        <f>"20170561"</f>
        <v>20170561</v>
      </c>
      <c r="C440" t="s">
        <v>209</v>
      </c>
      <c r="D440" t="s">
        <v>557</v>
      </c>
      <c r="E440" s="2"/>
      <c r="F440" t="s">
        <v>68</v>
      </c>
      <c r="G440" t="s">
        <v>177</v>
      </c>
      <c r="H440" t="s">
        <v>177</v>
      </c>
      <c r="I440"/>
    </row>
    <row r="441" spans="1:9">
      <c r="A441" t="s">
        <v>505</v>
      </c>
      <c r="B441" s="1" t="str">
        <f>"20884512"</f>
        <v>20884512</v>
      </c>
      <c r="C441" t="s">
        <v>558</v>
      </c>
      <c r="D441" t="s">
        <v>559</v>
      </c>
      <c r="E441" s="2"/>
      <c r="F441" t="s">
        <v>79</v>
      </c>
      <c r="G441" t="s">
        <v>177</v>
      </c>
      <c r="H441" t="s">
        <v>177</v>
      </c>
      <c r="I441"/>
    </row>
    <row r="442" spans="1:9">
      <c r="A442" t="s">
        <v>505</v>
      </c>
      <c r="B442" s="1" t="str">
        <f>"20884512.2"</f>
        <v>20884512.2</v>
      </c>
      <c r="C442" t="s">
        <v>558</v>
      </c>
      <c r="D442" t="s">
        <v>559</v>
      </c>
      <c r="E442" s="2"/>
      <c r="F442" t="s">
        <v>79</v>
      </c>
      <c r="G442" t="s">
        <v>177</v>
      </c>
      <c r="H442" t="s">
        <v>218</v>
      </c>
      <c r="I442"/>
    </row>
    <row r="443" spans="1:9">
      <c r="A443" t="s">
        <v>505</v>
      </c>
      <c r="B443" s="1" t="str">
        <f>"20290375"</f>
        <v>20290375</v>
      </c>
      <c r="C443" t="s">
        <v>560</v>
      </c>
      <c r="D443" t="s">
        <v>561</v>
      </c>
      <c r="E443" s="2"/>
      <c r="F443" t="s">
        <v>562</v>
      </c>
      <c r="G443" t="s">
        <v>80</v>
      </c>
      <c r="H443" t="s">
        <v>80</v>
      </c>
      <c r="I443"/>
    </row>
    <row r="444" spans="1:9">
      <c r="A444" t="s">
        <v>505</v>
      </c>
      <c r="B444" s="1" t="str">
        <f>"20290375.2"</f>
        <v>20290375.2</v>
      </c>
      <c r="C444" t="s">
        <v>560</v>
      </c>
      <c r="D444" t="s">
        <v>561</v>
      </c>
      <c r="E444" s="2"/>
      <c r="F444" t="s">
        <v>562</v>
      </c>
      <c r="G444" t="s">
        <v>80</v>
      </c>
      <c r="H444" t="s">
        <v>218</v>
      </c>
      <c r="I444"/>
    </row>
    <row r="445" spans="1:9">
      <c r="A445" t="s">
        <v>505</v>
      </c>
      <c r="B445" s="1" t="str">
        <f>"20082116"</f>
        <v>20082116</v>
      </c>
      <c r="C445" t="s">
        <v>560</v>
      </c>
      <c r="D445" t="s">
        <v>563</v>
      </c>
      <c r="E445" s="2"/>
      <c r="F445" t="s">
        <v>63</v>
      </c>
      <c r="G445" t="s">
        <v>80</v>
      </c>
      <c r="H445" t="s">
        <v>80</v>
      </c>
      <c r="I445"/>
    </row>
    <row r="446" spans="1:9">
      <c r="A446" t="s">
        <v>505</v>
      </c>
      <c r="B446" s="1" t="str">
        <f>"20082116.2"</f>
        <v>20082116.2</v>
      </c>
      <c r="C446" t="s">
        <v>560</v>
      </c>
      <c r="D446" t="s">
        <v>563</v>
      </c>
      <c r="E446" s="2"/>
      <c r="F446" t="s">
        <v>63</v>
      </c>
      <c r="G446" t="s">
        <v>80</v>
      </c>
      <c r="H446" t="s">
        <v>218</v>
      </c>
      <c r="I446"/>
    </row>
    <row r="447" spans="1:9">
      <c r="A447" t="s">
        <v>505</v>
      </c>
      <c r="B447" s="1" t="str">
        <f>"20884666"</f>
        <v>20884666</v>
      </c>
      <c r="C447" t="s">
        <v>225</v>
      </c>
      <c r="D447" t="s">
        <v>564</v>
      </c>
      <c r="E447" s="2"/>
      <c r="F447" t="s">
        <v>105</v>
      </c>
      <c r="G447" t="s">
        <v>299</v>
      </c>
      <c r="H447" t="s">
        <v>299</v>
      </c>
      <c r="I447"/>
    </row>
    <row r="448" spans="1:9">
      <c r="A448" t="s">
        <v>505</v>
      </c>
      <c r="B448" s="1" t="str">
        <f>"20251956"</f>
        <v>20251956</v>
      </c>
      <c r="C448" t="s">
        <v>225</v>
      </c>
      <c r="D448" t="s">
        <v>565</v>
      </c>
      <c r="E448" s="2"/>
      <c r="F448" t="s">
        <v>217</v>
      </c>
      <c r="G448" t="s">
        <v>227</v>
      </c>
      <c r="H448" t="s">
        <v>227</v>
      </c>
      <c r="I448"/>
    </row>
    <row r="449" spans="1:9">
      <c r="A449" t="s">
        <v>505</v>
      </c>
      <c r="B449" s="1" t="str">
        <f>"20200046"</f>
        <v>20200046</v>
      </c>
      <c r="C449" t="s">
        <v>225</v>
      </c>
      <c r="D449" t="s">
        <v>566</v>
      </c>
      <c r="E449" s="2"/>
      <c r="F449" t="s">
        <v>22</v>
      </c>
      <c r="G449" t="s">
        <v>177</v>
      </c>
      <c r="H449" t="s">
        <v>177</v>
      </c>
      <c r="I449"/>
    </row>
    <row r="450" spans="1:9">
      <c r="A450" t="s">
        <v>505</v>
      </c>
      <c r="B450" s="1" t="str">
        <f>"20884451"</f>
        <v>20884451</v>
      </c>
      <c r="C450" t="s">
        <v>225</v>
      </c>
      <c r="D450" t="s">
        <v>567</v>
      </c>
      <c r="E450" s="2"/>
      <c r="F450" t="s">
        <v>22</v>
      </c>
      <c r="G450" t="s">
        <v>82</v>
      </c>
      <c r="H450" t="s">
        <v>82</v>
      </c>
      <c r="I450"/>
    </row>
    <row r="451" spans="1:9">
      <c r="A451" t="s">
        <v>505</v>
      </c>
      <c r="B451" s="1" t="str">
        <f>"20125338"</f>
        <v>20125338</v>
      </c>
      <c r="C451" t="s">
        <v>225</v>
      </c>
      <c r="D451" t="s">
        <v>568</v>
      </c>
      <c r="E451" s="2"/>
      <c r="F451" t="s">
        <v>569</v>
      </c>
      <c r="G451" t="s">
        <v>13</v>
      </c>
      <c r="H451" t="s">
        <v>13</v>
      </c>
      <c r="I451"/>
    </row>
    <row r="452" spans="1:9">
      <c r="A452" t="s">
        <v>505</v>
      </c>
      <c r="B452" s="1" t="str">
        <f>"20884681"</f>
        <v>20884681</v>
      </c>
      <c r="C452" t="s">
        <v>225</v>
      </c>
      <c r="D452" t="s">
        <v>570</v>
      </c>
      <c r="E452" s="2"/>
      <c r="F452" t="s">
        <v>105</v>
      </c>
      <c r="G452" t="s">
        <v>571</v>
      </c>
      <c r="H452" t="s">
        <v>571</v>
      </c>
      <c r="I452"/>
    </row>
    <row r="453" spans="1:9">
      <c r="A453" t="s">
        <v>505</v>
      </c>
      <c r="B453" s="1" t="str">
        <f>"23458498"</f>
        <v>23458498</v>
      </c>
      <c r="C453" t="s">
        <v>225</v>
      </c>
      <c r="D453" t="s">
        <v>572</v>
      </c>
      <c r="E453" s="2"/>
      <c r="F453" t="s">
        <v>63</v>
      </c>
      <c r="G453" t="s">
        <v>243</v>
      </c>
      <c r="H453" t="s">
        <v>243</v>
      </c>
      <c r="I453"/>
    </row>
    <row r="454" spans="1:9">
      <c r="A454" t="s">
        <v>505</v>
      </c>
      <c r="B454" s="1" t="str">
        <f>"20081232"</f>
        <v>20081232</v>
      </c>
      <c r="C454" t="s">
        <v>225</v>
      </c>
      <c r="D454" t="s">
        <v>573</v>
      </c>
      <c r="E454" s="2"/>
      <c r="F454" t="s">
        <v>31</v>
      </c>
      <c r="G454" t="s">
        <v>80</v>
      </c>
      <c r="H454" t="s">
        <v>80</v>
      </c>
      <c r="I454"/>
    </row>
    <row r="455" spans="1:9">
      <c r="A455" t="s">
        <v>505</v>
      </c>
      <c r="B455" s="1" t="str">
        <f>"20081233"</f>
        <v>20081233</v>
      </c>
      <c r="C455" t="s">
        <v>225</v>
      </c>
      <c r="D455" t="s">
        <v>574</v>
      </c>
      <c r="E455" s="2"/>
      <c r="F455" t="s">
        <v>31</v>
      </c>
      <c r="G455" t="s">
        <v>80</v>
      </c>
      <c r="H455" t="s">
        <v>232</v>
      </c>
      <c r="I455"/>
    </row>
    <row r="456" spans="1:9">
      <c r="A456" t="s">
        <v>505</v>
      </c>
      <c r="B456" s="1" t="str">
        <f>"20884543"</f>
        <v>20884543</v>
      </c>
      <c r="C456" t="s">
        <v>225</v>
      </c>
      <c r="D456" t="s">
        <v>575</v>
      </c>
      <c r="E456" s="2"/>
      <c r="F456" t="s">
        <v>90</v>
      </c>
      <c r="G456" t="s">
        <v>571</v>
      </c>
      <c r="H456" t="s">
        <v>571</v>
      </c>
      <c r="I456"/>
    </row>
    <row r="457" spans="1:9">
      <c r="A457" t="s">
        <v>505</v>
      </c>
      <c r="B457" s="1" t="str">
        <f>"20884550"</f>
        <v>20884550</v>
      </c>
      <c r="C457" t="s">
        <v>225</v>
      </c>
      <c r="D457" t="s">
        <v>576</v>
      </c>
      <c r="E457" s="2"/>
      <c r="F457" t="s">
        <v>90</v>
      </c>
      <c r="G457" t="s">
        <v>571</v>
      </c>
      <c r="H457" t="s">
        <v>533</v>
      </c>
      <c r="I457"/>
    </row>
    <row r="458" spans="1:9">
      <c r="A458" t="s">
        <v>505</v>
      </c>
      <c r="B458" s="1" t="str">
        <f>"20696214"</f>
        <v>20696214</v>
      </c>
      <c r="C458" t="s">
        <v>225</v>
      </c>
      <c r="D458" t="s">
        <v>577</v>
      </c>
      <c r="E458" s="2"/>
      <c r="F458" t="s">
        <v>22</v>
      </c>
      <c r="G458" t="s">
        <v>82</v>
      </c>
      <c r="H458" t="s">
        <v>82</v>
      </c>
      <c r="I458"/>
    </row>
    <row r="459" spans="1:9">
      <c r="A459" t="s">
        <v>505</v>
      </c>
      <c r="B459" s="1" t="str">
        <f>"20884680"</f>
        <v>20884680</v>
      </c>
      <c r="C459" t="s">
        <v>225</v>
      </c>
      <c r="D459" t="s">
        <v>578</v>
      </c>
      <c r="E459" s="2"/>
      <c r="F459" t="s">
        <v>105</v>
      </c>
      <c r="G459" t="s">
        <v>571</v>
      </c>
      <c r="H459" t="s">
        <v>571</v>
      </c>
      <c r="I459"/>
    </row>
    <row r="460" spans="1:9">
      <c r="A460" t="s">
        <v>505</v>
      </c>
      <c r="B460" s="1" t="str">
        <f>"20791049"</f>
        <v>20791049</v>
      </c>
      <c r="C460" t="s">
        <v>225</v>
      </c>
      <c r="D460" t="s">
        <v>579</v>
      </c>
      <c r="E460" s="2"/>
      <c r="F460" t="s">
        <v>68</v>
      </c>
      <c r="G460" t="s">
        <v>571</v>
      </c>
      <c r="H460" t="s">
        <v>533</v>
      </c>
      <c r="I460"/>
    </row>
    <row r="461" spans="1:9">
      <c r="A461" t="s">
        <v>505</v>
      </c>
      <c r="B461" s="1" t="str">
        <f>"20295103"</f>
        <v>20295103</v>
      </c>
      <c r="C461" t="s">
        <v>580</v>
      </c>
      <c r="D461" t="s">
        <v>581</v>
      </c>
      <c r="E461" s="2"/>
      <c r="F461" t="s">
        <v>22</v>
      </c>
      <c r="G461" t="s">
        <v>13</v>
      </c>
      <c r="H461" t="s">
        <v>13</v>
      </c>
      <c r="I461"/>
    </row>
    <row r="462" spans="1:9">
      <c r="A462" t="s">
        <v>505</v>
      </c>
      <c r="B462" s="1" t="str">
        <f>"20295103.2"</f>
        <v>20295103.2</v>
      </c>
      <c r="C462" t="s">
        <v>580</v>
      </c>
      <c r="D462" t="s">
        <v>581</v>
      </c>
      <c r="E462" s="2"/>
      <c r="F462" t="s">
        <v>22</v>
      </c>
      <c r="G462" t="s">
        <v>13</v>
      </c>
      <c r="H462" t="s">
        <v>218</v>
      </c>
      <c r="I462"/>
    </row>
    <row r="463" spans="1:9">
      <c r="A463" t="s">
        <v>505</v>
      </c>
      <c r="B463" s="1" t="str">
        <f>"12015025"</f>
        <v>12015025</v>
      </c>
      <c r="C463" t="s">
        <v>582</v>
      </c>
      <c r="D463" t="s">
        <v>583</v>
      </c>
      <c r="E463" s="2"/>
      <c r="F463" t="s">
        <v>584</v>
      </c>
      <c r="G463" t="s">
        <v>156</v>
      </c>
      <c r="H463" t="s">
        <v>383</v>
      </c>
      <c r="I463"/>
    </row>
    <row r="464" spans="1:9">
      <c r="A464" t="s">
        <v>505</v>
      </c>
      <c r="B464" s="1" t="str">
        <f>"20294465"</f>
        <v>20294465</v>
      </c>
      <c r="C464" t="s">
        <v>585</v>
      </c>
      <c r="D464" t="s">
        <v>586</v>
      </c>
      <c r="E464" s="2"/>
      <c r="F464" t="s">
        <v>90</v>
      </c>
      <c r="G464" t="s">
        <v>80</v>
      </c>
      <c r="H464" t="s">
        <v>80</v>
      </c>
      <c r="I464"/>
    </row>
    <row r="465" spans="1:9">
      <c r="A465" t="s">
        <v>505</v>
      </c>
      <c r="B465" s="1" t="str">
        <f>"20294465.2"</f>
        <v>20294465.2</v>
      </c>
      <c r="C465" t="s">
        <v>585</v>
      </c>
      <c r="D465" t="s">
        <v>586</v>
      </c>
      <c r="E465" s="2"/>
      <c r="F465" t="s">
        <v>90</v>
      </c>
      <c r="G465" t="s">
        <v>80</v>
      </c>
      <c r="H465" t="s">
        <v>218</v>
      </c>
      <c r="I465"/>
    </row>
    <row r="466" spans="1:9">
      <c r="A466" t="s">
        <v>587</v>
      </c>
      <c r="B466" s="1" t="str">
        <f>"20182214"</f>
        <v>20182214</v>
      </c>
      <c r="C466" t="s">
        <v>10</v>
      </c>
      <c r="D466" t="s">
        <v>588</v>
      </c>
      <c r="E466" s="2"/>
      <c r="F466" t="s">
        <v>547</v>
      </c>
      <c r="G466" t="s">
        <v>533</v>
      </c>
      <c r="H466" t="s">
        <v>533</v>
      </c>
      <c r="I466"/>
    </row>
    <row r="467" spans="1:9">
      <c r="A467" t="s">
        <v>587</v>
      </c>
      <c r="B467" s="1" t="str">
        <f>"20212807"</f>
        <v>20212807</v>
      </c>
      <c r="C467" t="s">
        <v>10</v>
      </c>
      <c r="D467" t="s">
        <v>589</v>
      </c>
      <c r="E467" s="2"/>
      <c r="F467" t="s">
        <v>223</v>
      </c>
      <c r="G467"/>
      <c r="H467" t="s">
        <v>590</v>
      </c>
      <c r="I467"/>
    </row>
    <row r="468" spans="1:9">
      <c r="A468" t="s">
        <v>587</v>
      </c>
      <c r="B468" s="1" t="str">
        <f>"20182215"</f>
        <v>20182215</v>
      </c>
      <c r="C468" t="s">
        <v>10</v>
      </c>
      <c r="D468" t="s">
        <v>591</v>
      </c>
      <c r="E468" s="2"/>
      <c r="F468" t="s">
        <v>31</v>
      </c>
      <c r="G468" t="s">
        <v>533</v>
      </c>
      <c r="H468" t="s">
        <v>533</v>
      </c>
      <c r="I468"/>
    </row>
    <row r="469" spans="1:9">
      <c r="A469" t="s">
        <v>587</v>
      </c>
      <c r="B469" s="1" t="str">
        <f>"20080242"</f>
        <v>20080242</v>
      </c>
      <c r="C469" t="s">
        <v>545</v>
      </c>
      <c r="D469" t="s">
        <v>592</v>
      </c>
      <c r="E469" s="2"/>
      <c r="F469" t="s">
        <v>68</v>
      </c>
      <c r="G469" t="s">
        <v>80</v>
      </c>
      <c r="H469" t="s">
        <v>80</v>
      </c>
      <c r="I469"/>
    </row>
    <row r="470" spans="1:9">
      <c r="A470" t="s">
        <v>587</v>
      </c>
      <c r="B470" s="1" t="str">
        <f>"27236961"</f>
        <v>27236961</v>
      </c>
      <c r="C470" t="s">
        <v>545</v>
      </c>
      <c r="D470" t="s">
        <v>593</v>
      </c>
      <c r="E470" s="2"/>
      <c r="F470" t="s">
        <v>63</v>
      </c>
      <c r="G470" t="s">
        <v>322</v>
      </c>
      <c r="H470" t="s">
        <v>322</v>
      </c>
      <c r="I470"/>
    </row>
    <row r="471" spans="1:9">
      <c r="A471" t="s">
        <v>587</v>
      </c>
      <c r="B471" s="1" t="str">
        <f>"26135782"</f>
        <v>26135782</v>
      </c>
      <c r="C471" t="s">
        <v>545</v>
      </c>
      <c r="D471" t="s">
        <v>594</v>
      </c>
      <c r="E471" s="2"/>
      <c r="F471" t="s">
        <v>79</v>
      </c>
      <c r="G471" t="s">
        <v>227</v>
      </c>
      <c r="H471" t="s">
        <v>227</v>
      </c>
      <c r="I471"/>
    </row>
    <row r="472" spans="1:9">
      <c r="A472" t="s">
        <v>587</v>
      </c>
      <c r="B472" s="1" t="str">
        <f>"23318540"</f>
        <v>23318540</v>
      </c>
      <c r="C472" t="s">
        <v>545</v>
      </c>
      <c r="D472" t="s">
        <v>595</v>
      </c>
      <c r="E472" s="2"/>
      <c r="F472" t="s">
        <v>79</v>
      </c>
      <c r="G472" t="s">
        <v>227</v>
      </c>
      <c r="H472" t="s">
        <v>227</v>
      </c>
      <c r="I472"/>
    </row>
    <row r="473" spans="1:9">
      <c r="A473" t="s">
        <v>587</v>
      </c>
      <c r="B473" s="1" t="str">
        <f>"20090111"</f>
        <v>20090111</v>
      </c>
      <c r="C473" t="s">
        <v>545</v>
      </c>
      <c r="D473" t="s">
        <v>596</v>
      </c>
      <c r="E473" s="2"/>
      <c r="F473" t="s">
        <v>79</v>
      </c>
      <c r="G473" t="s">
        <v>227</v>
      </c>
      <c r="H473" t="s">
        <v>227</v>
      </c>
      <c r="I473"/>
    </row>
    <row r="474" spans="1:9">
      <c r="A474" t="s">
        <v>587</v>
      </c>
      <c r="B474" s="1" t="str">
        <f>"20090111.2"</f>
        <v>20090111.2</v>
      </c>
      <c r="C474" t="s">
        <v>545</v>
      </c>
      <c r="D474" t="s">
        <v>596</v>
      </c>
      <c r="E474" s="2"/>
      <c r="F474" t="s">
        <v>79</v>
      </c>
      <c r="G474" t="s">
        <v>227</v>
      </c>
      <c r="H474" t="s">
        <v>218</v>
      </c>
      <c r="I474"/>
    </row>
    <row r="475" spans="1:9">
      <c r="A475" t="s">
        <v>587</v>
      </c>
      <c r="B475" s="1" t="str">
        <f>"20658879"</f>
        <v>20658879</v>
      </c>
      <c r="C475" t="s">
        <v>209</v>
      </c>
      <c r="D475" t="s">
        <v>597</v>
      </c>
      <c r="E475" s="2"/>
      <c r="F475" t="s">
        <v>48</v>
      </c>
      <c r="G475" t="s">
        <v>598</v>
      </c>
      <c r="H475" t="s">
        <v>598</v>
      </c>
      <c r="I475"/>
    </row>
    <row r="476" spans="1:9">
      <c r="A476" t="s">
        <v>587</v>
      </c>
      <c r="B476" s="1" t="str">
        <f>"20511531"</f>
        <v>20511531</v>
      </c>
      <c r="C476" t="s">
        <v>209</v>
      </c>
      <c r="D476" t="s">
        <v>599</v>
      </c>
      <c r="E476" s="2"/>
      <c r="F476" t="s">
        <v>31</v>
      </c>
      <c r="G476" t="s">
        <v>598</v>
      </c>
      <c r="H476" t="s">
        <v>598</v>
      </c>
      <c r="I476"/>
    </row>
    <row r="477" spans="1:9">
      <c r="A477" t="s">
        <v>587</v>
      </c>
      <c r="B477" s="1" t="str">
        <f>"24335360"</f>
        <v>24335360</v>
      </c>
      <c r="C477" t="s">
        <v>209</v>
      </c>
      <c r="D477" t="s">
        <v>600</v>
      </c>
      <c r="E477" s="2"/>
      <c r="F477" t="s">
        <v>601</v>
      </c>
      <c r="G477"/>
      <c r="H477" t="s">
        <v>213</v>
      </c>
      <c r="I477"/>
    </row>
    <row r="478" spans="1:9">
      <c r="A478" t="s">
        <v>587</v>
      </c>
      <c r="B478" s="1" t="str">
        <f>"20068684"</f>
        <v>20068684</v>
      </c>
      <c r="C478" t="s">
        <v>209</v>
      </c>
      <c r="D478" t="s">
        <v>602</v>
      </c>
      <c r="E478" s="2"/>
      <c r="F478" t="s">
        <v>68</v>
      </c>
      <c r="G478" t="s">
        <v>598</v>
      </c>
      <c r="H478" t="s">
        <v>598</v>
      </c>
      <c r="I478"/>
    </row>
    <row r="479" spans="1:9">
      <c r="A479" t="s">
        <v>587</v>
      </c>
      <c r="B479" s="1" t="str">
        <f>"24050922"</f>
        <v>24050922</v>
      </c>
      <c r="C479" t="s">
        <v>209</v>
      </c>
      <c r="D479" t="s">
        <v>603</v>
      </c>
      <c r="E479" s="2"/>
      <c r="F479" t="s">
        <v>31</v>
      </c>
      <c r="G479" t="s">
        <v>232</v>
      </c>
      <c r="H479" t="s">
        <v>232</v>
      </c>
      <c r="I479"/>
    </row>
    <row r="480" spans="1:9">
      <c r="A480" t="s">
        <v>587</v>
      </c>
      <c r="B480" s="1" t="str">
        <f>"20087029"</f>
        <v>20087029</v>
      </c>
      <c r="C480" t="s">
        <v>209</v>
      </c>
      <c r="D480" t="s">
        <v>604</v>
      </c>
      <c r="E480" s="2"/>
      <c r="F480" t="s">
        <v>48</v>
      </c>
      <c r="G480" t="s">
        <v>533</v>
      </c>
      <c r="H480" t="s">
        <v>533</v>
      </c>
      <c r="I480"/>
    </row>
    <row r="481" spans="1:9">
      <c r="A481" t="s">
        <v>587</v>
      </c>
      <c r="B481" s="1" t="str">
        <f>"20220002"</f>
        <v>20220002</v>
      </c>
      <c r="C481"/>
      <c r="D481" t="s">
        <v>222</v>
      </c>
      <c r="E481" s="2"/>
      <c r="F481" t="s">
        <v>223</v>
      </c>
      <c r="G481" t="s">
        <v>224</v>
      </c>
      <c r="H481" t="s">
        <v>224</v>
      </c>
      <c r="I481"/>
    </row>
    <row r="482" spans="1:9">
      <c r="A482" t="s">
        <v>587</v>
      </c>
      <c r="B482" s="1" t="str">
        <f>"20171112"</f>
        <v>20171112</v>
      </c>
      <c r="C482" t="s">
        <v>605</v>
      </c>
      <c r="D482" t="s">
        <v>606</v>
      </c>
      <c r="E482" s="2"/>
      <c r="F482" t="s">
        <v>68</v>
      </c>
      <c r="G482" t="s">
        <v>322</v>
      </c>
      <c r="H482" t="s">
        <v>607</v>
      </c>
      <c r="I482"/>
    </row>
    <row r="483" spans="1:9">
      <c r="A483" t="s">
        <v>587</v>
      </c>
      <c r="B483" s="1" t="str">
        <f>"23221370"</f>
        <v>23221370</v>
      </c>
      <c r="C483" t="s">
        <v>225</v>
      </c>
      <c r="D483" t="s">
        <v>599</v>
      </c>
      <c r="E483" s="2"/>
      <c r="F483" t="s">
        <v>48</v>
      </c>
      <c r="G483" t="s">
        <v>608</v>
      </c>
      <c r="H483" t="s">
        <v>608</v>
      </c>
      <c r="I483"/>
    </row>
    <row r="484" spans="1:9">
      <c r="A484" t="s">
        <v>587</v>
      </c>
      <c r="B484" s="1" t="str">
        <f>"23098082"</f>
        <v>23098082</v>
      </c>
      <c r="C484" t="s">
        <v>225</v>
      </c>
      <c r="D484" t="s">
        <v>609</v>
      </c>
      <c r="E484" s="2"/>
      <c r="F484" t="s">
        <v>68</v>
      </c>
      <c r="G484" t="s">
        <v>610</v>
      </c>
      <c r="H484" t="s">
        <v>610</v>
      </c>
      <c r="I484"/>
    </row>
    <row r="485" spans="1:9">
      <c r="A485" t="s">
        <v>587</v>
      </c>
      <c r="B485" s="1" t="str">
        <f>"20087012"</f>
        <v>20087012</v>
      </c>
      <c r="C485" t="s">
        <v>225</v>
      </c>
      <c r="D485" t="s">
        <v>611</v>
      </c>
      <c r="E485" s="2"/>
      <c r="F485" t="s">
        <v>68</v>
      </c>
      <c r="G485" t="s">
        <v>608</v>
      </c>
      <c r="H485" t="s">
        <v>608</v>
      </c>
      <c r="I485"/>
    </row>
    <row r="486" spans="1:9">
      <c r="A486" t="s">
        <v>587</v>
      </c>
      <c r="B486" s="1" t="str">
        <f>"20558253"</f>
        <v>20558253</v>
      </c>
      <c r="C486" t="s">
        <v>225</v>
      </c>
      <c r="D486" t="s">
        <v>612</v>
      </c>
      <c r="E486" s="2"/>
      <c r="F486" t="s">
        <v>31</v>
      </c>
      <c r="G486" t="s">
        <v>613</v>
      </c>
      <c r="H486" t="s">
        <v>614</v>
      </c>
      <c r="I486"/>
    </row>
    <row r="487" spans="1:9">
      <c r="A487" t="s">
        <v>587</v>
      </c>
      <c r="B487" s="1" t="str">
        <f>"20295479"</f>
        <v>20295479</v>
      </c>
      <c r="C487" t="s">
        <v>225</v>
      </c>
      <c r="D487" t="s">
        <v>615</v>
      </c>
      <c r="E487" s="2"/>
      <c r="F487" t="s">
        <v>31</v>
      </c>
      <c r="G487" t="s">
        <v>616</v>
      </c>
      <c r="H487" t="s">
        <v>616</v>
      </c>
      <c r="I487"/>
    </row>
    <row r="488" spans="1:9">
      <c r="A488" t="s">
        <v>587</v>
      </c>
      <c r="B488" s="1" t="str">
        <f>"20157722"</f>
        <v>20157722</v>
      </c>
      <c r="C488" t="s">
        <v>225</v>
      </c>
      <c r="D488" t="s">
        <v>617</v>
      </c>
      <c r="E488" s="2"/>
      <c r="F488" t="s">
        <v>90</v>
      </c>
      <c r="G488" t="s">
        <v>618</v>
      </c>
      <c r="H488" t="s">
        <v>618</v>
      </c>
      <c r="I488"/>
    </row>
    <row r="489" spans="1:9">
      <c r="A489" t="s">
        <v>587</v>
      </c>
      <c r="B489" s="1" t="str">
        <f>"20190002"</f>
        <v>20190002</v>
      </c>
      <c r="C489" t="s">
        <v>225</v>
      </c>
      <c r="D489" t="s">
        <v>619</v>
      </c>
      <c r="E489" s="2"/>
      <c r="F489" t="s">
        <v>569</v>
      </c>
      <c r="G489" t="s">
        <v>620</v>
      </c>
      <c r="H489" t="s">
        <v>620</v>
      </c>
      <c r="I489"/>
    </row>
    <row r="490" spans="1:9">
      <c r="A490" t="s">
        <v>587</v>
      </c>
      <c r="B490" s="1" t="str">
        <f>"20086558"</f>
        <v>20086558</v>
      </c>
      <c r="C490" t="s">
        <v>225</v>
      </c>
      <c r="D490" t="s">
        <v>621</v>
      </c>
      <c r="E490" s="2"/>
      <c r="F490" t="s">
        <v>90</v>
      </c>
      <c r="G490" t="s">
        <v>616</v>
      </c>
      <c r="H490" t="s">
        <v>620</v>
      </c>
      <c r="I490"/>
    </row>
    <row r="491" spans="1:9">
      <c r="A491" t="s">
        <v>587</v>
      </c>
      <c r="B491" s="1" t="str">
        <f>"20087197"</f>
        <v>20087197</v>
      </c>
      <c r="C491" t="s">
        <v>225</v>
      </c>
      <c r="D491" t="s">
        <v>622</v>
      </c>
      <c r="E491" s="2"/>
      <c r="F491" t="s">
        <v>90</v>
      </c>
      <c r="G491" t="s">
        <v>623</v>
      </c>
      <c r="H491" t="s">
        <v>623</v>
      </c>
      <c r="I491"/>
    </row>
    <row r="492" spans="1:9">
      <c r="A492" t="s">
        <v>587</v>
      </c>
      <c r="B492" s="1" t="str">
        <f>"21354854"</f>
        <v>21354854</v>
      </c>
      <c r="C492" t="s">
        <v>225</v>
      </c>
      <c r="D492" t="s">
        <v>624</v>
      </c>
      <c r="E492" s="2"/>
      <c r="F492" t="s">
        <v>63</v>
      </c>
      <c r="G492" t="s">
        <v>80</v>
      </c>
      <c r="H492" t="s">
        <v>80</v>
      </c>
      <c r="I492"/>
    </row>
    <row r="493" spans="1:9">
      <c r="A493" t="s">
        <v>587</v>
      </c>
      <c r="B493" s="1" t="str">
        <f>"24432012"</f>
        <v>24432012</v>
      </c>
      <c r="C493" t="s">
        <v>225</v>
      </c>
      <c r="D493" t="s">
        <v>625</v>
      </c>
      <c r="E493" s="2"/>
      <c r="F493" t="s">
        <v>569</v>
      </c>
      <c r="G493" t="s">
        <v>82</v>
      </c>
      <c r="H493" t="s">
        <v>299</v>
      </c>
      <c r="I493"/>
    </row>
    <row r="494" spans="1:9">
      <c r="A494" t="s">
        <v>587</v>
      </c>
      <c r="B494" s="1" t="str">
        <f>"20511807"</f>
        <v>20511807</v>
      </c>
      <c r="C494" t="s">
        <v>225</v>
      </c>
      <c r="D494" t="s">
        <v>626</v>
      </c>
      <c r="E494" s="2"/>
      <c r="F494" t="s">
        <v>68</v>
      </c>
      <c r="G494" t="s">
        <v>598</v>
      </c>
      <c r="H494" t="s">
        <v>614</v>
      </c>
      <c r="I494"/>
    </row>
    <row r="495" spans="1:9">
      <c r="A495" t="s">
        <v>587</v>
      </c>
      <c r="B495" s="1" t="str">
        <f>"26021968"</f>
        <v>26021968</v>
      </c>
      <c r="C495" t="s">
        <v>225</v>
      </c>
      <c r="D495" t="s">
        <v>627</v>
      </c>
      <c r="E495" s="2"/>
      <c r="F495" t="s">
        <v>63</v>
      </c>
      <c r="G495" t="s">
        <v>571</v>
      </c>
      <c r="H495" t="s">
        <v>571</v>
      </c>
      <c r="I495"/>
    </row>
    <row r="496" spans="1:9">
      <c r="A496" t="s">
        <v>587</v>
      </c>
      <c r="B496" s="1" t="str">
        <f>"23158498"</f>
        <v>23158498</v>
      </c>
      <c r="C496" t="s">
        <v>225</v>
      </c>
      <c r="D496" t="s">
        <v>628</v>
      </c>
      <c r="E496" s="2"/>
      <c r="F496" t="s">
        <v>79</v>
      </c>
      <c r="G496" t="s">
        <v>598</v>
      </c>
      <c r="H496" t="s">
        <v>598</v>
      </c>
      <c r="I496"/>
    </row>
    <row r="497" spans="1:9">
      <c r="A497" t="s">
        <v>587</v>
      </c>
      <c r="B497" s="1" t="str">
        <f>"20036041"</f>
        <v>20036041</v>
      </c>
      <c r="C497" t="s">
        <v>629</v>
      </c>
      <c r="D497" t="s">
        <v>630</v>
      </c>
      <c r="E497" s="2"/>
      <c r="F497"/>
      <c r="G497" t="s">
        <v>631</v>
      </c>
      <c r="H497" t="s">
        <v>632</v>
      </c>
      <c r="I497"/>
    </row>
    <row r="498" spans="1:9">
      <c r="A498" t="s">
        <v>587</v>
      </c>
      <c r="B498" s="1" t="str">
        <f>"20097417"</f>
        <v>20097417</v>
      </c>
      <c r="C498" t="s">
        <v>633</v>
      </c>
      <c r="D498" t="s">
        <v>634</v>
      </c>
      <c r="E498" s="2"/>
      <c r="F498" t="s">
        <v>68</v>
      </c>
      <c r="G498" t="s">
        <v>613</v>
      </c>
      <c r="H498" t="s">
        <v>613</v>
      </c>
      <c r="I498"/>
    </row>
    <row r="499" spans="1:9">
      <c r="A499" t="s">
        <v>587</v>
      </c>
      <c r="B499" s="1" t="str">
        <f>"26495361"</f>
        <v>26495361</v>
      </c>
      <c r="C499" t="s">
        <v>633</v>
      </c>
      <c r="D499" t="s">
        <v>635</v>
      </c>
      <c r="E499" s="2"/>
      <c r="F499" t="s">
        <v>636</v>
      </c>
      <c r="G499" t="s">
        <v>533</v>
      </c>
      <c r="H499" t="s">
        <v>533</v>
      </c>
      <c r="I499"/>
    </row>
    <row r="500" spans="1:9">
      <c r="A500" t="s">
        <v>587</v>
      </c>
      <c r="B500" s="1" t="str">
        <f>"20016461"</f>
        <v>20016461</v>
      </c>
      <c r="C500" t="s">
        <v>633</v>
      </c>
      <c r="D500" t="s">
        <v>637</v>
      </c>
      <c r="E500" s="2"/>
      <c r="F500" t="s">
        <v>267</v>
      </c>
      <c r="G500" t="s">
        <v>632</v>
      </c>
      <c r="H500" t="s">
        <v>632</v>
      </c>
      <c r="I500"/>
    </row>
    <row r="501" spans="1:9">
      <c r="A501" t="s">
        <v>587</v>
      </c>
      <c r="B501" s="1" t="str">
        <f>"20154769"</f>
        <v>20154769</v>
      </c>
      <c r="C501" t="s">
        <v>633</v>
      </c>
      <c r="D501" t="s">
        <v>638</v>
      </c>
      <c r="E501" s="2"/>
      <c r="F501" t="s">
        <v>31</v>
      </c>
      <c r="G501" t="s">
        <v>598</v>
      </c>
      <c r="H501" t="s">
        <v>598</v>
      </c>
      <c r="I501"/>
    </row>
    <row r="502" spans="1:9">
      <c r="A502" t="s">
        <v>587</v>
      </c>
      <c r="B502" s="1" t="str">
        <f>"20182052"</f>
        <v>20182052</v>
      </c>
      <c r="C502" t="s">
        <v>633</v>
      </c>
      <c r="D502" t="s">
        <v>639</v>
      </c>
      <c r="E502" s="2"/>
      <c r="F502" t="s">
        <v>68</v>
      </c>
      <c r="G502" t="s">
        <v>80</v>
      </c>
      <c r="H502" t="s">
        <v>80</v>
      </c>
      <c r="I502"/>
    </row>
    <row r="503" spans="1:9">
      <c r="A503" t="s">
        <v>587</v>
      </c>
      <c r="B503" s="1" t="str">
        <f>"20831585"</f>
        <v>20831585</v>
      </c>
      <c r="C503" t="s">
        <v>633</v>
      </c>
      <c r="D503" t="s">
        <v>640</v>
      </c>
      <c r="E503" s="2"/>
      <c r="F503" t="s">
        <v>68</v>
      </c>
      <c r="G503" t="s">
        <v>533</v>
      </c>
      <c r="H503" t="s">
        <v>533</v>
      </c>
      <c r="I503"/>
    </row>
    <row r="504" spans="1:9">
      <c r="A504" t="s">
        <v>587</v>
      </c>
      <c r="B504" s="1" t="str">
        <f>"20084066"</f>
        <v>20084066</v>
      </c>
      <c r="C504" t="s">
        <v>633</v>
      </c>
      <c r="D504" t="s">
        <v>641</v>
      </c>
      <c r="E504" s="2"/>
      <c r="F504" t="s">
        <v>90</v>
      </c>
      <c r="G504" t="s">
        <v>616</v>
      </c>
      <c r="H504" t="s">
        <v>616</v>
      </c>
      <c r="I504"/>
    </row>
    <row r="505" spans="1:9">
      <c r="A505" t="s">
        <v>587</v>
      </c>
      <c r="B505" s="1" t="str">
        <f>"26234597"</f>
        <v>26234597</v>
      </c>
      <c r="C505" t="s">
        <v>633</v>
      </c>
      <c r="D505" t="s">
        <v>642</v>
      </c>
      <c r="E505" s="2"/>
      <c r="F505" t="s">
        <v>643</v>
      </c>
      <c r="G505" t="s">
        <v>13</v>
      </c>
      <c r="H505" t="s">
        <v>13</v>
      </c>
      <c r="I505"/>
    </row>
    <row r="506" spans="1:9">
      <c r="A506" t="s">
        <v>587</v>
      </c>
      <c r="B506" s="1" t="str">
        <f>"24335359"</f>
        <v>24335359</v>
      </c>
      <c r="C506" t="s">
        <v>644</v>
      </c>
      <c r="D506" t="s">
        <v>645</v>
      </c>
      <c r="E506" s="2"/>
      <c r="F506" t="s">
        <v>646</v>
      </c>
      <c r="G506" t="s">
        <v>647</v>
      </c>
      <c r="H506" t="s">
        <v>156</v>
      </c>
      <c r="I506"/>
    </row>
    <row r="507" spans="1:9">
      <c r="A507" t="s">
        <v>587</v>
      </c>
      <c r="B507" s="1" t="str">
        <f>"20748371"</f>
        <v>20748371</v>
      </c>
      <c r="C507" t="s">
        <v>644</v>
      </c>
      <c r="D507" t="s">
        <v>648</v>
      </c>
      <c r="E507" s="2"/>
      <c r="F507" t="s">
        <v>646</v>
      </c>
      <c r="G507" t="s">
        <v>647</v>
      </c>
      <c r="H507" t="s">
        <v>647</v>
      </c>
      <c r="I507"/>
    </row>
    <row r="508" spans="1:9">
      <c r="A508" t="s">
        <v>587</v>
      </c>
      <c r="B508" s="1" t="str">
        <f>"24335357"</f>
        <v>24335357</v>
      </c>
      <c r="C508" t="s">
        <v>644</v>
      </c>
      <c r="D508" t="s">
        <v>649</v>
      </c>
      <c r="E508" s="2"/>
      <c r="F508" t="s">
        <v>646</v>
      </c>
      <c r="G508" t="s">
        <v>647</v>
      </c>
      <c r="H508" t="s">
        <v>647</v>
      </c>
      <c r="I508"/>
    </row>
    <row r="509" spans="1:9">
      <c r="A509" t="s">
        <v>587</v>
      </c>
      <c r="B509" s="1" t="str">
        <f>"24335319"</f>
        <v>24335319</v>
      </c>
      <c r="C509" t="s">
        <v>644</v>
      </c>
      <c r="D509" t="s">
        <v>650</v>
      </c>
      <c r="E509" s="2"/>
      <c r="F509" t="s">
        <v>646</v>
      </c>
      <c r="G509" t="s">
        <v>647</v>
      </c>
      <c r="H509" t="s">
        <v>647</v>
      </c>
      <c r="I509"/>
    </row>
    <row r="510" spans="1:9">
      <c r="A510" t="s">
        <v>587</v>
      </c>
      <c r="B510" s="1" t="str">
        <f>"24335358"</f>
        <v>24335358</v>
      </c>
      <c r="C510" t="s">
        <v>644</v>
      </c>
      <c r="D510" t="s">
        <v>651</v>
      </c>
      <c r="E510" s="2"/>
      <c r="F510" t="s">
        <v>646</v>
      </c>
      <c r="G510" t="s">
        <v>122</v>
      </c>
      <c r="H510" t="s">
        <v>122</v>
      </c>
      <c r="I510"/>
    </row>
    <row r="511" spans="1:9">
      <c r="A511" t="s">
        <v>587</v>
      </c>
      <c r="B511" s="1" t="str">
        <f>"20748388"</f>
        <v>20748388</v>
      </c>
      <c r="C511" t="s">
        <v>644</v>
      </c>
      <c r="D511" t="s">
        <v>652</v>
      </c>
      <c r="E511" s="2"/>
      <c r="F511" t="s">
        <v>646</v>
      </c>
      <c r="G511" t="s">
        <v>647</v>
      </c>
      <c r="H511" t="s">
        <v>647</v>
      </c>
      <c r="I511"/>
    </row>
    <row r="512" spans="1:9">
      <c r="A512" t="s">
        <v>587</v>
      </c>
      <c r="B512" s="1" t="str">
        <f>"20171102"</f>
        <v>20171102</v>
      </c>
      <c r="C512" t="s">
        <v>644</v>
      </c>
      <c r="D512" t="s">
        <v>653</v>
      </c>
      <c r="E512" s="2"/>
      <c r="F512" t="s">
        <v>646</v>
      </c>
      <c r="G512" t="s">
        <v>647</v>
      </c>
      <c r="H512" t="s">
        <v>647</v>
      </c>
      <c r="I512"/>
    </row>
    <row r="513" spans="1:9">
      <c r="A513" t="s">
        <v>587</v>
      </c>
      <c r="B513" s="1" t="str">
        <f>"20655387"</f>
        <v>20655387</v>
      </c>
      <c r="C513" t="s">
        <v>654</v>
      </c>
      <c r="D513" t="s">
        <v>626</v>
      </c>
      <c r="E513" s="2"/>
      <c r="F513" t="s">
        <v>105</v>
      </c>
      <c r="G513" t="s">
        <v>175</v>
      </c>
      <c r="H513" t="s">
        <v>175</v>
      </c>
      <c r="I513"/>
    </row>
    <row r="514" spans="1:9">
      <c r="A514" t="s">
        <v>587</v>
      </c>
      <c r="B514" s="1" t="str">
        <f>"20655387.2"</f>
        <v>20655387.2</v>
      </c>
      <c r="C514" t="s">
        <v>654</v>
      </c>
      <c r="D514" t="s">
        <v>626</v>
      </c>
      <c r="E514" s="2"/>
      <c r="F514" t="s">
        <v>105</v>
      </c>
      <c r="G514" t="s">
        <v>175</v>
      </c>
      <c r="H514" t="s">
        <v>517</v>
      </c>
      <c r="I514"/>
    </row>
    <row r="515" spans="1:9">
      <c r="A515" t="s">
        <v>587</v>
      </c>
      <c r="B515" s="1" t="str">
        <f>"20029418"</f>
        <v>20029418</v>
      </c>
      <c r="C515" t="s">
        <v>655</v>
      </c>
      <c r="D515" t="s">
        <v>656</v>
      </c>
      <c r="E515" s="2"/>
      <c r="F515" t="s">
        <v>68</v>
      </c>
      <c r="G515" t="s">
        <v>657</v>
      </c>
      <c r="H515" t="s">
        <v>657</v>
      </c>
      <c r="I515"/>
    </row>
    <row r="516" spans="1:9">
      <c r="A516" t="s">
        <v>587</v>
      </c>
      <c r="B516" s="1" t="str">
        <f>"20029418.2"</f>
        <v>20029418.2</v>
      </c>
      <c r="C516" t="s">
        <v>655</v>
      </c>
      <c r="D516" t="s">
        <v>656</v>
      </c>
      <c r="E516" s="2"/>
      <c r="F516" t="s">
        <v>68</v>
      </c>
      <c r="G516" t="s">
        <v>657</v>
      </c>
      <c r="H516" t="s">
        <v>383</v>
      </c>
      <c r="I516"/>
    </row>
    <row r="517" spans="1:9">
      <c r="A517" t="s">
        <v>587</v>
      </c>
      <c r="B517" s="1" t="str">
        <f>"20169305"</f>
        <v>20169305</v>
      </c>
      <c r="C517" t="s">
        <v>655</v>
      </c>
      <c r="D517" t="s">
        <v>656</v>
      </c>
      <c r="E517" s="2"/>
      <c r="F517" t="s">
        <v>48</v>
      </c>
      <c r="G517" t="s">
        <v>177</v>
      </c>
      <c r="H517" t="s">
        <v>177</v>
      </c>
      <c r="I517"/>
    </row>
    <row r="518" spans="1:9">
      <c r="A518" t="s">
        <v>587</v>
      </c>
      <c r="B518" s="1" t="str">
        <f>"20169305.2"</f>
        <v>20169305.2</v>
      </c>
      <c r="C518" t="s">
        <v>655</v>
      </c>
      <c r="D518" t="s">
        <v>656</v>
      </c>
      <c r="E518" s="2"/>
      <c r="F518" t="s">
        <v>48</v>
      </c>
      <c r="G518" t="s">
        <v>177</v>
      </c>
      <c r="H518" t="s">
        <v>218</v>
      </c>
      <c r="I518"/>
    </row>
    <row r="519" spans="1:9">
      <c r="A519" t="s">
        <v>587</v>
      </c>
      <c r="B519" s="1" t="str">
        <f>"20116880"</f>
        <v>20116880</v>
      </c>
      <c r="C519" t="s">
        <v>655</v>
      </c>
      <c r="D519" t="s">
        <v>658</v>
      </c>
      <c r="E519" s="2"/>
      <c r="F519" t="s">
        <v>68</v>
      </c>
      <c r="G519" t="s">
        <v>659</v>
      </c>
      <c r="H519" t="s">
        <v>659</v>
      </c>
      <c r="I519"/>
    </row>
    <row r="520" spans="1:9">
      <c r="A520" t="s">
        <v>587</v>
      </c>
      <c r="B520" s="1" t="str">
        <f>"20116880.2"</f>
        <v>20116880.2</v>
      </c>
      <c r="C520" t="s">
        <v>655</v>
      </c>
      <c r="D520" t="s">
        <v>658</v>
      </c>
      <c r="E520" s="2"/>
      <c r="F520" t="s">
        <v>68</v>
      </c>
      <c r="G520" t="s">
        <v>659</v>
      </c>
      <c r="H520" t="s">
        <v>383</v>
      </c>
      <c r="I520"/>
    </row>
    <row r="521" spans="1:9">
      <c r="A521" t="s">
        <v>587</v>
      </c>
      <c r="B521" s="1" t="str">
        <f>"20836979"</f>
        <v>20836979</v>
      </c>
      <c r="C521" t="s">
        <v>655</v>
      </c>
      <c r="D521" t="s">
        <v>660</v>
      </c>
      <c r="E521" s="2"/>
      <c r="F521" t="s">
        <v>246</v>
      </c>
      <c r="G521" t="s">
        <v>659</v>
      </c>
      <c r="H521" t="s">
        <v>659</v>
      </c>
      <c r="I521"/>
    </row>
    <row r="522" spans="1:9">
      <c r="A522" t="s">
        <v>587</v>
      </c>
      <c r="B522" s="1" t="str">
        <f>"20836979.2"</f>
        <v>20836979.2</v>
      </c>
      <c r="C522" t="s">
        <v>655</v>
      </c>
      <c r="D522" t="s">
        <v>660</v>
      </c>
      <c r="E522" s="2"/>
      <c r="F522" t="s">
        <v>246</v>
      </c>
      <c r="G522" t="s">
        <v>659</v>
      </c>
      <c r="H522" t="s">
        <v>383</v>
      </c>
      <c r="I522"/>
    </row>
    <row r="523" spans="1:9">
      <c r="A523" t="s">
        <v>587</v>
      </c>
      <c r="B523" s="1" t="str">
        <f>"20184704"</f>
        <v>20184704</v>
      </c>
      <c r="C523" t="s">
        <v>655</v>
      </c>
      <c r="D523" t="s">
        <v>661</v>
      </c>
      <c r="E523" s="2"/>
      <c r="F523" t="s">
        <v>68</v>
      </c>
      <c r="G523" t="s">
        <v>533</v>
      </c>
      <c r="H523" t="s">
        <v>533</v>
      </c>
      <c r="I523"/>
    </row>
    <row r="524" spans="1:9">
      <c r="A524" t="s">
        <v>587</v>
      </c>
      <c r="B524" s="1" t="str">
        <f>"20184704.2"</f>
        <v>20184704.2</v>
      </c>
      <c r="C524" t="s">
        <v>655</v>
      </c>
      <c r="D524" t="s">
        <v>661</v>
      </c>
      <c r="E524" s="2"/>
      <c r="F524" t="s">
        <v>68</v>
      </c>
      <c r="G524" t="s">
        <v>533</v>
      </c>
      <c r="H524" t="s">
        <v>517</v>
      </c>
      <c r="I524"/>
    </row>
    <row r="525" spans="1:9">
      <c r="A525" t="s">
        <v>587</v>
      </c>
      <c r="B525" s="1" t="str">
        <f>"20150891"</f>
        <v>20150891</v>
      </c>
      <c r="C525" t="s">
        <v>655</v>
      </c>
      <c r="D525" t="s">
        <v>626</v>
      </c>
      <c r="E525" s="2"/>
      <c r="F525" t="s">
        <v>68</v>
      </c>
      <c r="G525" t="s">
        <v>533</v>
      </c>
      <c r="H525" t="s">
        <v>533</v>
      </c>
      <c r="I525"/>
    </row>
    <row r="526" spans="1:9">
      <c r="A526" t="s">
        <v>587</v>
      </c>
      <c r="B526" s="1" t="str">
        <f>"20150891.2"</f>
        <v>20150891.2</v>
      </c>
      <c r="C526" t="s">
        <v>655</v>
      </c>
      <c r="D526" t="s">
        <v>626</v>
      </c>
      <c r="E526" s="2"/>
      <c r="F526" t="s">
        <v>68</v>
      </c>
      <c r="G526" t="s">
        <v>533</v>
      </c>
      <c r="H526" t="s">
        <v>517</v>
      </c>
      <c r="I526"/>
    </row>
    <row r="527" spans="1:9">
      <c r="A527" t="s">
        <v>587</v>
      </c>
      <c r="B527" s="1" t="str">
        <f>"20200190"</f>
        <v>20200190</v>
      </c>
      <c r="C527" t="s">
        <v>662</v>
      </c>
      <c r="D527" t="s">
        <v>663</v>
      </c>
      <c r="E527" s="2"/>
      <c r="F527" t="s">
        <v>79</v>
      </c>
      <c r="G527" t="s">
        <v>516</v>
      </c>
      <c r="H527" t="s">
        <v>516</v>
      </c>
      <c r="I527"/>
    </row>
    <row r="528" spans="1:9">
      <c r="A528" t="s">
        <v>664</v>
      </c>
      <c r="B528" s="1" t="str">
        <f>"20046873"</f>
        <v>20046873</v>
      </c>
      <c r="C528" t="s">
        <v>260</v>
      </c>
      <c r="D528" t="s">
        <v>665</v>
      </c>
      <c r="E528" s="2"/>
      <c r="F528" t="s">
        <v>68</v>
      </c>
      <c r="G528" t="s">
        <v>80</v>
      </c>
      <c r="H528" t="s">
        <v>80</v>
      </c>
      <c r="I528"/>
    </row>
    <row r="529" spans="1:9">
      <c r="A529" t="s">
        <v>664</v>
      </c>
      <c r="B529" s="1" t="str">
        <f>"20046873.2"</f>
        <v>20046873.2</v>
      </c>
      <c r="C529" t="s">
        <v>260</v>
      </c>
      <c r="D529" t="s">
        <v>665</v>
      </c>
      <c r="E529" s="2"/>
      <c r="F529" t="s">
        <v>68</v>
      </c>
      <c r="G529" t="s">
        <v>80</v>
      </c>
      <c r="H529" t="s">
        <v>218</v>
      </c>
      <c r="I529"/>
    </row>
    <row r="530" spans="1:9">
      <c r="A530" t="s">
        <v>664</v>
      </c>
      <c r="B530" s="1" t="str">
        <f>"12066400"</f>
        <v>12066400</v>
      </c>
      <c r="C530" t="s">
        <v>260</v>
      </c>
      <c r="D530" t="s">
        <v>666</v>
      </c>
      <c r="E530" s="2"/>
      <c r="F530" t="s">
        <v>667</v>
      </c>
      <c r="G530" t="s">
        <v>668</v>
      </c>
      <c r="H530" t="s">
        <v>668</v>
      </c>
      <c r="I530"/>
    </row>
    <row r="531" spans="1:9">
      <c r="A531" t="s">
        <v>664</v>
      </c>
      <c r="B531" s="1" t="str">
        <f>"20797515"</f>
        <v>20797515</v>
      </c>
      <c r="C531" t="s">
        <v>260</v>
      </c>
      <c r="D531" t="s">
        <v>669</v>
      </c>
      <c r="E531" s="2"/>
      <c r="F531" t="s">
        <v>48</v>
      </c>
      <c r="G531" t="s">
        <v>299</v>
      </c>
      <c r="H531" t="s">
        <v>299</v>
      </c>
      <c r="I531"/>
    </row>
    <row r="532" spans="1:9">
      <c r="A532" t="s">
        <v>664</v>
      </c>
      <c r="B532" s="1" t="str">
        <f>"12051343"</f>
        <v>12051343</v>
      </c>
      <c r="C532" t="s">
        <v>260</v>
      </c>
      <c r="D532" t="s">
        <v>670</v>
      </c>
      <c r="E532" s="2"/>
      <c r="F532" t="s">
        <v>671</v>
      </c>
      <c r="G532" t="s">
        <v>668</v>
      </c>
      <c r="H532" t="s">
        <v>668</v>
      </c>
      <c r="I532"/>
    </row>
    <row r="533" spans="1:9">
      <c r="A533" t="s">
        <v>664</v>
      </c>
      <c r="B533" s="1" t="str">
        <f>"20063436"</f>
        <v>20063436</v>
      </c>
      <c r="C533" t="s">
        <v>260</v>
      </c>
      <c r="D533" t="s">
        <v>672</v>
      </c>
      <c r="E533" s="2"/>
      <c r="F533" t="s">
        <v>68</v>
      </c>
      <c r="G533" t="s">
        <v>673</v>
      </c>
      <c r="H533" t="s">
        <v>673</v>
      </c>
      <c r="I533"/>
    </row>
    <row r="534" spans="1:9">
      <c r="A534" t="s">
        <v>664</v>
      </c>
      <c r="B534" s="1" t="str">
        <f>"20063436.2"</f>
        <v>20063436.2</v>
      </c>
      <c r="C534" t="s">
        <v>260</v>
      </c>
      <c r="D534" t="s">
        <v>672</v>
      </c>
      <c r="E534" s="2"/>
      <c r="F534" t="s">
        <v>68</v>
      </c>
      <c r="G534" t="s">
        <v>673</v>
      </c>
      <c r="H534" t="s">
        <v>674</v>
      </c>
      <c r="I534"/>
    </row>
    <row r="535" spans="1:9">
      <c r="A535" t="s">
        <v>664</v>
      </c>
      <c r="B535" s="1" t="str">
        <f>"20878417"</f>
        <v>20878417</v>
      </c>
      <c r="C535" t="s">
        <v>260</v>
      </c>
      <c r="D535" t="s">
        <v>675</v>
      </c>
      <c r="E535" s="2"/>
      <c r="F535" t="s">
        <v>48</v>
      </c>
      <c r="G535" t="s">
        <v>232</v>
      </c>
      <c r="H535" t="s">
        <v>232</v>
      </c>
      <c r="I535"/>
    </row>
    <row r="536" spans="1:9">
      <c r="A536" t="s">
        <v>664</v>
      </c>
      <c r="B536" s="1" t="str">
        <f>"20878417.2"</f>
        <v>20878417.2</v>
      </c>
      <c r="C536" t="s">
        <v>260</v>
      </c>
      <c r="D536" t="s">
        <v>675</v>
      </c>
      <c r="E536" s="2"/>
      <c r="F536" t="s">
        <v>48</v>
      </c>
      <c r="G536" t="s">
        <v>232</v>
      </c>
      <c r="H536" t="s">
        <v>218</v>
      </c>
      <c r="I536"/>
    </row>
    <row r="537" spans="1:9">
      <c r="A537" t="s">
        <v>664</v>
      </c>
      <c r="B537" s="1" t="str">
        <f>"20912246"</f>
        <v>20912246</v>
      </c>
      <c r="C537" t="s">
        <v>260</v>
      </c>
      <c r="D537" t="s">
        <v>676</v>
      </c>
      <c r="E537" s="2"/>
      <c r="F537" t="s">
        <v>677</v>
      </c>
      <c r="G537" t="s">
        <v>678</v>
      </c>
      <c r="H537" t="s">
        <v>679</v>
      </c>
      <c r="I537"/>
    </row>
    <row r="538" spans="1:9">
      <c r="A538" t="s">
        <v>664</v>
      </c>
      <c r="B538" s="1" t="str">
        <f>"12051353"</f>
        <v>12051353</v>
      </c>
      <c r="C538" t="s">
        <v>260</v>
      </c>
      <c r="D538" t="s">
        <v>680</v>
      </c>
      <c r="E538" s="2"/>
      <c r="F538" t="s">
        <v>681</v>
      </c>
      <c r="G538" t="s">
        <v>668</v>
      </c>
      <c r="H538" t="s">
        <v>668</v>
      </c>
      <c r="I538"/>
    </row>
    <row r="539" spans="1:9">
      <c r="A539" t="s">
        <v>664</v>
      </c>
      <c r="B539" s="1" t="str">
        <f>"20023393"</f>
        <v>20023393</v>
      </c>
      <c r="C539" t="s">
        <v>260</v>
      </c>
      <c r="D539" t="s">
        <v>682</v>
      </c>
      <c r="E539" s="2"/>
      <c r="F539" t="s">
        <v>68</v>
      </c>
      <c r="G539" t="s">
        <v>683</v>
      </c>
      <c r="H539" t="s">
        <v>684</v>
      </c>
      <c r="I539"/>
    </row>
    <row r="540" spans="1:9">
      <c r="A540" t="s">
        <v>664</v>
      </c>
      <c r="B540" s="1" t="str">
        <f>"20054854"</f>
        <v>20054854</v>
      </c>
      <c r="C540" t="s">
        <v>260</v>
      </c>
      <c r="D540" t="s">
        <v>685</v>
      </c>
      <c r="E540" s="2"/>
      <c r="F540" t="s">
        <v>681</v>
      </c>
      <c r="G540" t="s">
        <v>686</v>
      </c>
      <c r="H540" t="s">
        <v>686</v>
      </c>
      <c r="I540"/>
    </row>
    <row r="541" spans="1:9">
      <c r="A541" t="s">
        <v>664</v>
      </c>
      <c r="B541" s="1" t="str">
        <f>"20182210"</f>
        <v>20182210</v>
      </c>
      <c r="C541" t="s">
        <v>10</v>
      </c>
      <c r="D541" t="s">
        <v>687</v>
      </c>
      <c r="E541" s="2"/>
      <c r="F541" t="s">
        <v>79</v>
      </c>
      <c r="G541" t="s">
        <v>688</v>
      </c>
      <c r="H541" t="s">
        <v>688</v>
      </c>
      <c r="I541"/>
    </row>
    <row r="542" spans="1:9">
      <c r="A542" t="s">
        <v>664</v>
      </c>
      <c r="B542" s="1" t="str">
        <f>"20182212"</f>
        <v>20182212</v>
      </c>
      <c r="C542" t="s">
        <v>10</v>
      </c>
      <c r="D542" t="s">
        <v>689</v>
      </c>
      <c r="E542" s="2"/>
      <c r="F542" t="s">
        <v>79</v>
      </c>
      <c r="G542" t="s">
        <v>688</v>
      </c>
      <c r="H542" t="s">
        <v>688</v>
      </c>
      <c r="I542"/>
    </row>
    <row r="543" spans="1:9">
      <c r="A543" t="s">
        <v>664</v>
      </c>
      <c r="B543" s="1" t="str">
        <f>"20044060"</f>
        <v>20044060</v>
      </c>
      <c r="C543" t="s">
        <v>545</v>
      </c>
      <c r="D543" t="s">
        <v>690</v>
      </c>
      <c r="E543" s="2"/>
      <c r="F543" t="s">
        <v>547</v>
      </c>
      <c r="G543" t="s">
        <v>177</v>
      </c>
      <c r="H543" t="s">
        <v>177</v>
      </c>
      <c r="I543"/>
    </row>
    <row r="544" spans="1:9">
      <c r="A544" t="s">
        <v>664</v>
      </c>
      <c r="B544" s="1" t="str">
        <f>"20044060.2"</f>
        <v>20044060.2</v>
      </c>
      <c r="C544" t="s">
        <v>545</v>
      </c>
      <c r="D544" t="s">
        <v>690</v>
      </c>
      <c r="E544" s="2"/>
      <c r="F544" t="s">
        <v>547</v>
      </c>
      <c r="G544" t="s">
        <v>177</v>
      </c>
      <c r="H544" t="s">
        <v>218</v>
      </c>
      <c r="I544"/>
    </row>
    <row r="545" spans="1:9">
      <c r="A545" t="s">
        <v>664</v>
      </c>
      <c r="B545" s="1" t="str">
        <f>"20076566"</f>
        <v>20076566</v>
      </c>
      <c r="C545" t="s">
        <v>691</v>
      </c>
      <c r="D545" t="s">
        <v>692</v>
      </c>
      <c r="E545" s="2"/>
      <c r="F545" t="s">
        <v>68</v>
      </c>
      <c r="G545" t="s">
        <v>232</v>
      </c>
      <c r="H545" t="s">
        <v>232</v>
      </c>
      <c r="I545"/>
    </row>
    <row r="546" spans="1:9">
      <c r="A546" t="s">
        <v>664</v>
      </c>
      <c r="B546" s="1" t="str">
        <f>"20016514"</f>
        <v>20016514</v>
      </c>
      <c r="C546" t="s">
        <v>209</v>
      </c>
      <c r="D546" t="s">
        <v>693</v>
      </c>
      <c r="E546" s="2"/>
      <c r="F546" t="s">
        <v>68</v>
      </c>
      <c r="G546" t="s">
        <v>598</v>
      </c>
      <c r="H546" t="s">
        <v>598</v>
      </c>
      <c r="I546"/>
    </row>
    <row r="547" spans="1:9">
      <c r="A547" t="s">
        <v>664</v>
      </c>
      <c r="B547" s="1" t="str">
        <f>"20016515"</f>
        <v>20016515</v>
      </c>
      <c r="C547" t="s">
        <v>209</v>
      </c>
      <c r="D547" t="s">
        <v>694</v>
      </c>
      <c r="E547" s="2"/>
      <c r="F547" t="s">
        <v>31</v>
      </c>
      <c r="G547" t="s">
        <v>695</v>
      </c>
      <c r="H547" t="s">
        <v>695</v>
      </c>
      <c r="I547"/>
    </row>
    <row r="548" spans="1:9">
      <c r="A548" t="s">
        <v>664</v>
      </c>
      <c r="B548" s="1" t="str">
        <f>"20016516"</f>
        <v>20016516</v>
      </c>
      <c r="C548" t="s">
        <v>209</v>
      </c>
      <c r="D548" t="s">
        <v>696</v>
      </c>
      <c r="E548" s="2"/>
      <c r="F548" t="s">
        <v>68</v>
      </c>
      <c r="G548" t="s">
        <v>598</v>
      </c>
      <c r="H548" t="s">
        <v>598</v>
      </c>
      <c r="I548"/>
    </row>
    <row r="549" spans="1:9">
      <c r="A549" t="s">
        <v>664</v>
      </c>
      <c r="B549" s="1" t="str">
        <f>"20016509"</f>
        <v>20016509</v>
      </c>
      <c r="C549" t="s">
        <v>209</v>
      </c>
      <c r="D549" t="s">
        <v>697</v>
      </c>
      <c r="E549" s="2"/>
      <c r="F549" t="s">
        <v>90</v>
      </c>
      <c r="G549" t="s">
        <v>82</v>
      </c>
      <c r="H549" t="s">
        <v>82</v>
      </c>
      <c r="I549"/>
    </row>
    <row r="550" spans="1:9">
      <c r="A550" t="s">
        <v>664</v>
      </c>
      <c r="B550" s="1" t="str">
        <f>"20016517"</f>
        <v>20016517</v>
      </c>
      <c r="C550" t="s">
        <v>209</v>
      </c>
      <c r="D550" t="s">
        <v>698</v>
      </c>
      <c r="E550" s="2"/>
      <c r="F550" t="s">
        <v>90</v>
      </c>
      <c r="G550" t="s">
        <v>82</v>
      </c>
      <c r="H550" t="s">
        <v>82</v>
      </c>
      <c r="I550"/>
    </row>
    <row r="551" spans="1:9">
      <c r="A551" t="s">
        <v>664</v>
      </c>
      <c r="B551" s="1" t="str">
        <f>"20016510"</f>
        <v>20016510</v>
      </c>
      <c r="C551" t="s">
        <v>209</v>
      </c>
      <c r="D551" t="s">
        <v>699</v>
      </c>
      <c r="E551" s="2"/>
      <c r="F551" t="s">
        <v>90</v>
      </c>
      <c r="G551" t="s">
        <v>82</v>
      </c>
      <c r="H551" t="s">
        <v>82</v>
      </c>
      <c r="I551"/>
    </row>
    <row r="552" spans="1:9">
      <c r="A552" t="s">
        <v>664</v>
      </c>
      <c r="B552" s="1" t="str">
        <f>"20016512"</f>
        <v>20016512</v>
      </c>
      <c r="C552" t="s">
        <v>209</v>
      </c>
      <c r="D552" t="s">
        <v>700</v>
      </c>
      <c r="E552" s="2"/>
      <c r="F552" t="s">
        <v>90</v>
      </c>
      <c r="G552" t="s">
        <v>80</v>
      </c>
      <c r="H552" t="s">
        <v>80</v>
      </c>
      <c r="I552"/>
    </row>
    <row r="553" spans="1:9">
      <c r="A553" t="s">
        <v>664</v>
      </c>
      <c r="B553" s="1" t="str">
        <f>"20016513"</f>
        <v>20016513</v>
      </c>
      <c r="C553" t="s">
        <v>209</v>
      </c>
      <c r="D553" t="s">
        <v>701</v>
      </c>
      <c r="E553" s="2"/>
      <c r="F553" t="s">
        <v>68</v>
      </c>
      <c r="G553" t="s">
        <v>80</v>
      </c>
      <c r="H553" t="s">
        <v>80</v>
      </c>
      <c r="I553"/>
    </row>
    <row r="554" spans="1:9">
      <c r="A554" t="s">
        <v>664</v>
      </c>
      <c r="B554" s="1" t="str">
        <f>"20841829"</f>
        <v>20841829</v>
      </c>
      <c r="C554" t="s">
        <v>209</v>
      </c>
      <c r="D554" t="s">
        <v>702</v>
      </c>
      <c r="E554" s="2"/>
      <c r="F554" t="s">
        <v>68</v>
      </c>
      <c r="G554" t="s">
        <v>19</v>
      </c>
      <c r="H554" t="s">
        <v>19</v>
      </c>
      <c r="I554"/>
    </row>
    <row r="555" spans="1:9">
      <c r="A555" t="s">
        <v>664</v>
      </c>
      <c r="B555" s="1" t="str">
        <f>"20016511"</f>
        <v>20016511</v>
      </c>
      <c r="C555" t="s">
        <v>209</v>
      </c>
      <c r="D555" t="s">
        <v>703</v>
      </c>
      <c r="E555" s="2"/>
      <c r="F555" t="s">
        <v>90</v>
      </c>
      <c r="G555" t="s">
        <v>82</v>
      </c>
      <c r="H555" t="s">
        <v>82</v>
      </c>
      <c r="I555"/>
    </row>
    <row r="556" spans="1:9">
      <c r="A556" t="s">
        <v>664</v>
      </c>
      <c r="B556" s="1" t="str">
        <f>"20173113"</f>
        <v>20173113</v>
      </c>
      <c r="C556" t="s">
        <v>209</v>
      </c>
      <c r="D556" t="s">
        <v>704</v>
      </c>
      <c r="E556" s="2"/>
      <c r="F556" t="s">
        <v>79</v>
      </c>
      <c r="G556" t="s">
        <v>705</v>
      </c>
      <c r="H556" t="s">
        <v>706</v>
      </c>
      <c r="I556"/>
    </row>
    <row r="557" spans="1:9">
      <c r="A557" t="s">
        <v>664</v>
      </c>
      <c r="B557" s="1" t="str">
        <f>"20024697"</f>
        <v>20024697</v>
      </c>
      <c r="C557" t="s">
        <v>707</v>
      </c>
      <c r="D557" t="s">
        <v>708</v>
      </c>
      <c r="E557" s="2"/>
      <c r="F557" t="s">
        <v>709</v>
      </c>
      <c r="G557" t="s">
        <v>13</v>
      </c>
      <c r="H557" t="s">
        <v>13</v>
      </c>
      <c r="I557"/>
    </row>
    <row r="558" spans="1:9">
      <c r="A558" t="s">
        <v>664</v>
      </c>
      <c r="B558" s="1" t="str">
        <f>"20024697.2"</f>
        <v>20024697.2</v>
      </c>
      <c r="C558" t="s">
        <v>707</v>
      </c>
      <c r="D558" t="s">
        <v>708</v>
      </c>
      <c r="E558" s="2"/>
      <c r="F558" t="s">
        <v>709</v>
      </c>
      <c r="G558" t="s">
        <v>13</v>
      </c>
      <c r="H558" t="s">
        <v>218</v>
      </c>
      <c r="I558"/>
    </row>
    <row r="559" spans="1:9">
      <c r="A559" t="s">
        <v>664</v>
      </c>
      <c r="B559" s="1" t="str">
        <f>"24000354"</f>
        <v>24000354</v>
      </c>
      <c r="C559" t="s">
        <v>707</v>
      </c>
      <c r="D559" t="s">
        <v>710</v>
      </c>
      <c r="E559" s="2"/>
      <c r="F559"/>
      <c r="G559" t="s">
        <v>711</v>
      </c>
      <c r="H559" t="s">
        <v>711</v>
      </c>
      <c r="I559"/>
    </row>
    <row r="560" spans="1:9">
      <c r="A560" t="s">
        <v>664</v>
      </c>
      <c r="B560" s="1" t="str">
        <f>"20102297"</f>
        <v>20102297</v>
      </c>
      <c r="C560" t="s">
        <v>707</v>
      </c>
      <c r="D560" t="s">
        <v>712</v>
      </c>
      <c r="E560" s="2"/>
      <c r="F560" t="s">
        <v>713</v>
      </c>
      <c r="G560"/>
      <c r="H560" t="s">
        <v>322</v>
      </c>
      <c r="I560"/>
    </row>
    <row r="561" spans="1:9">
      <c r="A561" t="s">
        <v>664</v>
      </c>
      <c r="B561" s="1" t="str">
        <f>"20102297.2"</f>
        <v>20102297.2</v>
      </c>
      <c r="C561" t="s">
        <v>707</v>
      </c>
      <c r="D561" t="s">
        <v>712</v>
      </c>
      <c r="E561" s="2"/>
      <c r="F561" t="s">
        <v>713</v>
      </c>
      <c r="G561"/>
      <c r="H561" t="s">
        <v>218</v>
      </c>
      <c r="I561"/>
    </row>
    <row r="562" spans="1:9">
      <c r="A562" t="s">
        <v>664</v>
      </c>
      <c r="B562" s="1" t="str">
        <f>"24313852"</f>
        <v>24313852</v>
      </c>
      <c r="C562" t="s">
        <v>707</v>
      </c>
      <c r="D562" t="s">
        <v>714</v>
      </c>
      <c r="E562" s="2"/>
      <c r="F562" t="s">
        <v>715</v>
      </c>
      <c r="G562" t="s">
        <v>148</v>
      </c>
      <c r="H562" t="s">
        <v>148</v>
      </c>
      <c r="I562"/>
    </row>
    <row r="563" spans="1:9">
      <c r="A563" t="s">
        <v>664</v>
      </c>
      <c r="B563" s="1" t="str">
        <f>"24313852.2"</f>
        <v>24313852.2</v>
      </c>
      <c r="C563" t="s">
        <v>707</v>
      </c>
      <c r="D563" t="s">
        <v>714</v>
      </c>
      <c r="E563" s="2"/>
      <c r="F563" t="s">
        <v>715</v>
      </c>
      <c r="G563" t="s">
        <v>148</v>
      </c>
      <c r="H563" t="s">
        <v>218</v>
      </c>
      <c r="I563"/>
    </row>
    <row r="564" spans="1:9">
      <c r="A564" t="s">
        <v>664</v>
      </c>
      <c r="B564" s="1" t="str">
        <f>"20015244"</f>
        <v>20015244</v>
      </c>
      <c r="C564" t="s">
        <v>707</v>
      </c>
      <c r="D564" t="s">
        <v>716</v>
      </c>
      <c r="E564" s="2"/>
      <c r="F564" t="s">
        <v>717</v>
      </c>
      <c r="G564" t="s">
        <v>177</v>
      </c>
      <c r="H564" t="s">
        <v>177</v>
      </c>
      <c r="I564"/>
    </row>
    <row r="565" spans="1:9">
      <c r="A565" t="s">
        <v>664</v>
      </c>
      <c r="B565" s="1" t="str">
        <f>"20015244.2"</f>
        <v>20015244.2</v>
      </c>
      <c r="C565" t="s">
        <v>707</v>
      </c>
      <c r="D565" t="s">
        <v>716</v>
      </c>
      <c r="E565" s="2"/>
      <c r="F565" t="s">
        <v>717</v>
      </c>
      <c r="G565" t="s">
        <v>177</v>
      </c>
      <c r="H565" t="s">
        <v>218</v>
      </c>
      <c r="I565"/>
    </row>
    <row r="566" spans="1:9">
      <c r="A566" t="s">
        <v>664</v>
      </c>
      <c r="B566" s="1" t="str">
        <f>"20012250"</f>
        <v>20012250</v>
      </c>
      <c r="C566" t="s">
        <v>707</v>
      </c>
      <c r="D566" t="s">
        <v>718</v>
      </c>
      <c r="E566" s="2"/>
      <c r="F566"/>
      <c r="G566" t="s">
        <v>243</v>
      </c>
      <c r="H566" t="s">
        <v>243</v>
      </c>
      <c r="I566"/>
    </row>
    <row r="567" spans="1:9">
      <c r="A567" t="s">
        <v>664</v>
      </c>
      <c r="B567" s="1" t="str">
        <f>"20136261"</f>
        <v>20136261</v>
      </c>
      <c r="C567" t="s">
        <v>707</v>
      </c>
      <c r="D567" t="s">
        <v>719</v>
      </c>
      <c r="E567" s="2"/>
      <c r="F567" t="s">
        <v>720</v>
      </c>
      <c r="G567" t="s">
        <v>721</v>
      </c>
      <c r="H567" t="s">
        <v>721</v>
      </c>
      <c r="I567"/>
    </row>
    <row r="568" spans="1:9">
      <c r="A568" t="s">
        <v>664</v>
      </c>
      <c r="B568" s="1" t="str">
        <f>"20136261.2"</f>
        <v>20136261.2</v>
      </c>
      <c r="C568" t="s">
        <v>707</v>
      </c>
      <c r="D568" t="s">
        <v>719</v>
      </c>
      <c r="E568" s="2"/>
      <c r="F568" t="s">
        <v>720</v>
      </c>
      <c r="G568" t="s">
        <v>721</v>
      </c>
      <c r="H568" t="s">
        <v>218</v>
      </c>
      <c r="I568"/>
    </row>
    <row r="569" spans="1:9">
      <c r="A569" t="s">
        <v>664</v>
      </c>
      <c r="B569" s="1" t="str">
        <f>"20022488"</f>
        <v>20022488</v>
      </c>
      <c r="C569" t="s">
        <v>707</v>
      </c>
      <c r="D569" t="s">
        <v>722</v>
      </c>
      <c r="E569" s="2"/>
      <c r="F569"/>
      <c r="G569" t="s">
        <v>243</v>
      </c>
      <c r="H569" t="s">
        <v>243</v>
      </c>
      <c r="I569"/>
    </row>
    <row r="570" spans="1:9">
      <c r="A570" t="s">
        <v>664</v>
      </c>
      <c r="B570" s="1" t="str">
        <f>"20022488.2"</f>
        <v>20022488.2</v>
      </c>
      <c r="C570" t="s">
        <v>707</v>
      </c>
      <c r="D570" t="s">
        <v>722</v>
      </c>
      <c r="E570" s="2"/>
      <c r="F570"/>
      <c r="G570" t="s">
        <v>243</v>
      </c>
      <c r="H570" t="s">
        <v>218</v>
      </c>
      <c r="I570"/>
    </row>
    <row r="571" spans="1:9">
      <c r="A571" t="s">
        <v>664</v>
      </c>
      <c r="B571" s="1" t="str">
        <f>"20021603"</f>
        <v>20021603</v>
      </c>
      <c r="C571" t="s">
        <v>707</v>
      </c>
      <c r="D571" t="s">
        <v>723</v>
      </c>
      <c r="E571" s="2"/>
      <c r="F571"/>
      <c r="G571" t="s">
        <v>711</v>
      </c>
      <c r="H571" t="s">
        <v>683</v>
      </c>
      <c r="I571"/>
    </row>
    <row r="572" spans="1:9">
      <c r="A572" t="s">
        <v>664</v>
      </c>
      <c r="B572" s="1" t="str">
        <f>"20105983"</f>
        <v>20105983</v>
      </c>
      <c r="C572" t="s">
        <v>707</v>
      </c>
      <c r="D572" t="s">
        <v>724</v>
      </c>
      <c r="E572" s="2"/>
      <c r="F572"/>
      <c r="G572" t="s">
        <v>725</v>
      </c>
      <c r="H572" t="s">
        <v>725</v>
      </c>
      <c r="I572"/>
    </row>
    <row r="573" spans="1:9">
      <c r="A573" t="s">
        <v>664</v>
      </c>
      <c r="B573" s="1" t="str">
        <f>"20114213.2"</f>
        <v>20114213.2</v>
      </c>
      <c r="C573" t="s">
        <v>707</v>
      </c>
      <c r="D573" t="s">
        <v>726</v>
      </c>
      <c r="E573" s="2"/>
      <c r="F573" t="s">
        <v>31</v>
      </c>
      <c r="G573" t="s">
        <v>620</v>
      </c>
      <c r="H573" t="s">
        <v>517</v>
      </c>
      <c r="I573"/>
    </row>
    <row r="574" spans="1:9">
      <c r="A574" t="s">
        <v>664</v>
      </c>
      <c r="B574" s="1" t="str">
        <f>"20113865"</f>
        <v>20113865</v>
      </c>
      <c r="C574" t="s">
        <v>707</v>
      </c>
      <c r="D574" t="s">
        <v>727</v>
      </c>
      <c r="E574" s="2"/>
      <c r="F574" t="s">
        <v>68</v>
      </c>
      <c r="G574" t="s">
        <v>623</v>
      </c>
      <c r="H574" t="s">
        <v>623</v>
      </c>
      <c r="I574"/>
    </row>
    <row r="575" spans="1:9">
      <c r="A575" t="s">
        <v>664</v>
      </c>
      <c r="B575" s="1" t="str">
        <f>"20113865.2"</f>
        <v>20113865.2</v>
      </c>
      <c r="C575" t="s">
        <v>707</v>
      </c>
      <c r="D575" t="s">
        <v>727</v>
      </c>
      <c r="E575" s="2"/>
      <c r="F575" t="s">
        <v>68</v>
      </c>
      <c r="G575" t="s">
        <v>623</v>
      </c>
      <c r="H575" t="s">
        <v>218</v>
      </c>
      <c r="I575"/>
    </row>
    <row r="576" spans="1:9">
      <c r="A576" t="s">
        <v>664</v>
      </c>
      <c r="B576" s="1" t="str">
        <f>"20047115"</f>
        <v>20047115</v>
      </c>
      <c r="C576" t="s">
        <v>707</v>
      </c>
      <c r="D576" t="s">
        <v>728</v>
      </c>
      <c r="E576" s="2"/>
      <c r="F576" t="s">
        <v>31</v>
      </c>
      <c r="G576" t="s">
        <v>729</v>
      </c>
      <c r="H576" t="s">
        <v>729</v>
      </c>
      <c r="I576"/>
    </row>
    <row r="577" spans="1:9">
      <c r="A577" t="s">
        <v>664</v>
      </c>
      <c r="B577" s="1" t="str">
        <f>"20047115.2"</f>
        <v>20047115.2</v>
      </c>
      <c r="C577" t="s">
        <v>707</v>
      </c>
      <c r="D577" t="s">
        <v>728</v>
      </c>
      <c r="E577" s="2"/>
      <c r="F577" t="s">
        <v>31</v>
      </c>
      <c r="G577" t="s">
        <v>729</v>
      </c>
      <c r="H577" t="s">
        <v>674</v>
      </c>
      <c r="I577"/>
    </row>
    <row r="578" spans="1:9">
      <c r="A578" t="s">
        <v>664</v>
      </c>
      <c r="B578" s="1" t="str">
        <f>"20067922"</f>
        <v>20067922</v>
      </c>
      <c r="C578" t="s">
        <v>707</v>
      </c>
      <c r="D578" t="s">
        <v>730</v>
      </c>
      <c r="E578" s="2"/>
      <c r="F578" t="s">
        <v>731</v>
      </c>
      <c r="G578" t="s">
        <v>13</v>
      </c>
      <c r="H578" t="s">
        <v>13</v>
      </c>
      <c r="I578"/>
    </row>
    <row r="579" spans="1:9">
      <c r="A579" t="s">
        <v>664</v>
      </c>
      <c r="B579" s="1" t="str">
        <f>"20203252"</f>
        <v>20203252</v>
      </c>
      <c r="C579" t="s">
        <v>707</v>
      </c>
      <c r="D579" t="s">
        <v>730</v>
      </c>
      <c r="E579" s="2"/>
      <c r="F579" t="s">
        <v>732</v>
      </c>
      <c r="G579" t="s">
        <v>13</v>
      </c>
      <c r="H579" t="s">
        <v>13</v>
      </c>
      <c r="I579"/>
    </row>
    <row r="580" spans="1:9">
      <c r="A580" t="s">
        <v>664</v>
      </c>
      <c r="B580" s="1" t="str">
        <f>"20203252.2"</f>
        <v>20203252.2</v>
      </c>
      <c r="C580" t="s">
        <v>707</v>
      </c>
      <c r="D580" t="s">
        <v>730</v>
      </c>
      <c r="E580" s="2"/>
      <c r="F580" t="s">
        <v>732</v>
      </c>
      <c r="G580" t="s">
        <v>13</v>
      </c>
      <c r="H580" t="s">
        <v>218</v>
      </c>
      <c r="I580"/>
    </row>
    <row r="581" spans="1:9">
      <c r="A581" t="s">
        <v>664</v>
      </c>
      <c r="B581" s="1" t="str">
        <f>"20047047"</f>
        <v>20047047</v>
      </c>
      <c r="C581" t="s">
        <v>707</v>
      </c>
      <c r="D581" t="s">
        <v>733</v>
      </c>
      <c r="E581" s="2"/>
      <c r="F581" t="s">
        <v>734</v>
      </c>
      <c r="G581" t="s">
        <v>13</v>
      </c>
      <c r="H581" t="s">
        <v>13</v>
      </c>
      <c r="I581"/>
    </row>
    <row r="582" spans="1:9">
      <c r="A582" t="s">
        <v>664</v>
      </c>
      <c r="B582" s="1" t="str">
        <f>"20047047.2"</f>
        <v>20047047.2</v>
      </c>
      <c r="C582" t="s">
        <v>707</v>
      </c>
      <c r="D582" t="s">
        <v>733</v>
      </c>
      <c r="E582" s="2"/>
      <c r="F582" t="s">
        <v>734</v>
      </c>
      <c r="G582" t="s">
        <v>13</v>
      </c>
      <c r="H582" t="s">
        <v>218</v>
      </c>
      <c r="I582"/>
    </row>
    <row r="583" spans="1:9">
      <c r="A583" t="s">
        <v>664</v>
      </c>
      <c r="B583" s="1" t="str">
        <f>"20158798"</f>
        <v>20158798</v>
      </c>
      <c r="C583" t="s">
        <v>707</v>
      </c>
      <c r="D583" t="s">
        <v>735</v>
      </c>
      <c r="E583" s="2"/>
      <c r="F583" t="s">
        <v>736</v>
      </c>
      <c r="G583" t="s">
        <v>13</v>
      </c>
      <c r="H583" t="s">
        <v>13</v>
      </c>
      <c r="I583"/>
    </row>
    <row r="584" spans="1:9">
      <c r="A584" t="s">
        <v>664</v>
      </c>
      <c r="B584" s="1" t="str">
        <f>"20158798.2"</f>
        <v>20158798.2</v>
      </c>
      <c r="C584" t="s">
        <v>707</v>
      </c>
      <c r="D584" t="s">
        <v>735</v>
      </c>
      <c r="E584" s="2"/>
      <c r="F584" t="s">
        <v>736</v>
      </c>
      <c r="G584" t="s">
        <v>13</v>
      </c>
      <c r="H584" t="s">
        <v>218</v>
      </c>
      <c r="I584"/>
    </row>
    <row r="585" spans="1:9">
      <c r="A585" t="s">
        <v>664</v>
      </c>
      <c r="B585" s="1" t="str">
        <f>"20022730"</f>
        <v>20022730</v>
      </c>
      <c r="C585" t="s">
        <v>707</v>
      </c>
      <c r="D585" t="s">
        <v>737</v>
      </c>
      <c r="E585" s="2"/>
      <c r="F585" t="s">
        <v>79</v>
      </c>
      <c r="G585" t="s">
        <v>232</v>
      </c>
      <c r="H585" t="s">
        <v>232</v>
      </c>
      <c r="I585"/>
    </row>
    <row r="586" spans="1:9">
      <c r="A586" t="s">
        <v>664</v>
      </c>
      <c r="B586" s="1" t="str">
        <f>"20022730.2"</f>
        <v>20022730.2</v>
      </c>
      <c r="C586" t="s">
        <v>707</v>
      </c>
      <c r="D586" t="s">
        <v>737</v>
      </c>
      <c r="E586" s="2"/>
      <c r="F586" t="s">
        <v>79</v>
      </c>
      <c r="G586" t="s">
        <v>232</v>
      </c>
      <c r="H586" t="s">
        <v>218</v>
      </c>
      <c r="I586"/>
    </row>
    <row r="587" spans="1:9">
      <c r="A587" t="s">
        <v>664</v>
      </c>
      <c r="B587" s="1" t="str">
        <f>"20043452"</f>
        <v>20043452</v>
      </c>
      <c r="C587" t="s">
        <v>707</v>
      </c>
      <c r="D587" t="s">
        <v>738</v>
      </c>
      <c r="E587" s="2"/>
      <c r="F587" t="s">
        <v>681</v>
      </c>
      <c r="G587" t="s">
        <v>232</v>
      </c>
      <c r="H587" t="s">
        <v>232</v>
      </c>
      <c r="I587"/>
    </row>
    <row r="588" spans="1:9">
      <c r="A588" t="s">
        <v>664</v>
      </c>
      <c r="B588" s="1" t="str">
        <f>"20269739"</f>
        <v>20269739</v>
      </c>
      <c r="C588" t="s">
        <v>707</v>
      </c>
      <c r="D588" t="s">
        <v>739</v>
      </c>
      <c r="E588" s="2"/>
      <c r="F588" t="s">
        <v>68</v>
      </c>
      <c r="G588" t="s">
        <v>616</v>
      </c>
      <c r="H588" t="s">
        <v>616</v>
      </c>
      <c r="I588"/>
    </row>
    <row r="589" spans="1:9">
      <c r="A589" t="s">
        <v>664</v>
      </c>
      <c r="B589" s="1" t="str">
        <f>"20269739.2"</f>
        <v>20269739.2</v>
      </c>
      <c r="C589" t="s">
        <v>707</v>
      </c>
      <c r="D589" t="s">
        <v>739</v>
      </c>
      <c r="E589" s="2"/>
      <c r="F589" t="s">
        <v>68</v>
      </c>
      <c r="G589" t="s">
        <v>616</v>
      </c>
      <c r="H589" t="s">
        <v>517</v>
      </c>
      <c r="I589"/>
    </row>
    <row r="590" spans="1:9">
      <c r="A590" t="s">
        <v>664</v>
      </c>
      <c r="B590" s="1" t="str">
        <f>"20047184"</f>
        <v>20047184</v>
      </c>
      <c r="C590" t="s">
        <v>707</v>
      </c>
      <c r="D590" t="s">
        <v>740</v>
      </c>
      <c r="E590" s="2"/>
      <c r="F590" t="s">
        <v>79</v>
      </c>
      <c r="G590" t="s">
        <v>729</v>
      </c>
      <c r="H590" t="s">
        <v>729</v>
      </c>
      <c r="I590"/>
    </row>
    <row r="591" spans="1:9">
      <c r="A591" t="s">
        <v>664</v>
      </c>
      <c r="B591" s="1" t="str">
        <f>"20047184.2"</f>
        <v>20047184.2</v>
      </c>
      <c r="C591" t="s">
        <v>707</v>
      </c>
      <c r="D591" t="s">
        <v>740</v>
      </c>
      <c r="E591" s="2"/>
      <c r="F591" t="s">
        <v>31</v>
      </c>
      <c r="G591" t="s">
        <v>729</v>
      </c>
      <c r="H591" t="s">
        <v>674</v>
      </c>
      <c r="I591"/>
    </row>
    <row r="592" spans="1:9">
      <c r="A592" t="s">
        <v>664</v>
      </c>
      <c r="B592" s="1" t="str">
        <f>"20173104"</f>
        <v>20173104</v>
      </c>
      <c r="C592" t="s">
        <v>225</v>
      </c>
      <c r="D592" t="s">
        <v>741</v>
      </c>
      <c r="E592" s="2"/>
      <c r="F592" t="s">
        <v>79</v>
      </c>
      <c r="G592" t="s">
        <v>742</v>
      </c>
      <c r="H592" t="s">
        <v>742</v>
      </c>
      <c r="I592"/>
    </row>
    <row r="593" spans="1:9">
      <c r="A593" t="s">
        <v>664</v>
      </c>
      <c r="B593" s="1" t="str">
        <f>"20173105"</f>
        <v>20173105</v>
      </c>
      <c r="C593" t="s">
        <v>225</v>
      </c>
      <c r="D593" t="s">
        <v>743</v>
      </c>
      <c r="E593" s="2"/>
      <c r="F593" t="s">
        <v>79</v>
      </c>
      <c r="G593" t="s">
        <v>744</v>
      </c>
      <c r="H593" t="s">
        <v>745</v>
      </c>
      <c r="I593"/>
    </row>
    <row r="594" spans="1:9">
      <c r="A594" t="s">
        <v>664</v>
      </c>
      <c r="B594" s="1" t="str">
        <f>"20173108"</f>
        <v>20173108</v>
      </c>
      <c r="C594" t="s">
        <v>225</v>
      </c>
      <c r="D594" t="s">
        <v>746</v>
      </c>
      <c r="E594" s="2"/>
      <c r="F594" t="s">
        <v>68</v>
      </c>
      <c r="G594" t="s">
        <v>706</v>
      </c>
      <c r="H594" t="s">
        <v>706</v>
      </c>
      <c r="I594"/>
    </row>
    <row r="595" spans="1:9">
      <c r="A595" t="s">
        <v>664</v>
      </c>
      <c r="B595" s="1" t="str">
        <f>"20173107"</f>
        <v>20173107</v>
      </c>
      <c r="C595" t="s">
        <v>225</v>
      </c>
      <c r="D595" t="s">
        <v>747</v>
      </c>
      <c r="E595" s="2"/>
      <c r="F595" t="s">
        <v>79</v>
      </c>
      <c r="G595" t="s">
        <v>705</v>
      </c>
      <c r="H595" t="s">
        <v>705</v>
      </c>
      <c r="I595"/>
    </row>
    <row r="596" spans="1:9">
      <c r="A596" t="s">
        <v>664</v>
      </c>
      <c r="B596" s="1" t="str">
        <f>"25361005"</f>
        <v>25361005</v>
      </c>
      <c r="C596" t="s">
        <v>225</v>
      </c>
      <c r="D596" t="s">
        <v>748</v>
      </c>
      <c r="E596" s="2"/>
      <c r="F596" t="s">
        <v>68</v>
      </c>
      <c r="G596" t="s">
        <v>516</v>
      </c>
      <c r="H596" t="s">
        <v>516</v>
      </c>
      <c r="I596"/>
    </row>
    <row r="597" spans="1:9">
      <c r="A597" t="s">
        <v>664</v>
      </c>
      <c r="B597" s="1" t="str">
        <f>"20173106"</f>
        <v>20173106</v>
      </c>
      <c r="C597" t="s">
        <v>225</v>
      </c>
      <c r="D597" t="s">
        <v>749</v>
      </c>
      <c r="E597" s="2"/>
      <c r="F597" t="s">
        <v>79</v>
      </c>
      <c r="G597" t="s">
        <v>742</v>
      </c>
      <c r="H597" t="s">
        <v>742</v>
      </c>
      <c r="I597"/>
    </row>
    <row r="598" spans="1:9">
      <c r="A598" t="s">
        <v>664</v>
      </c>
      <c r="B598" s="1" t="str">
        <f>"20018198"</f>
        <v>20018198</v>
      </c>
      <c r="C598" t="s">
        <v>225</v>
      </c>
      <c r="D598" t="s">
        <v>750</v>
      </c>
      <c r="E598" s="2"/>
      <c r="F598" t="s">
        <v>79</v>
      </c>
      <c r="G598" t="s">
        <v>745</v>
      </c>
      <c r="H598" t="s">
        <v>745</v>
      </c>
      <c r="I598"/>
    </row>
    <row r="599" spans="1:9">
      <c r="A599" t="s">
        <v>664</v>
      </c>
      <c r="B599" s="1" t="str">
        <f>"20173111"</f>
        <v>20173111</v>
      </c>
      <c r="C599" t="s">
        <v>225</v>
      </c>
      <c r="D599" t="s">
        <v>751</v>
      </c>
      <c r="E599" s="2"/>
      <c r="F599" t="s">
        <v>79</v>
      </c>
      <c r="G599" t="s">
        <v>745</v>
      </c>
      <c r="H599" t="s">
        <v>745</v>
      </c>
      <c r="I599"/>
    </row>
    <row r="600" spans="1:9">
      <c r="A600" t="s">
        <v>664</v>
      </c>
      <c r="B600" s="1" t="str">
        <f>"20046842"</f>
        <v>20046842</v>
      </c>
      <c r="C600" t="s">
        <v>752</v>
      </c>
      <c r="D600" t="s">
        <v>753</v>
      </c>
      <c r="E600" s="2"/>
      <c r="F600" t="s">
        <v>754</v>
      </c>
      <c r="G600" t="s">
        <v>668</v>
      </c>
      <c r="H600" t="s">
        <v>668</v>
      </c>
      <c r="I600"/>
    </row>
    <row r="601" spans="1:9">
      <c r="A601" t="s">
        <v>664</v>
      </c>
      <c r="B601" s="1" t="str">
        <f>"12016030"</f>
        <v>12016030</v>
      </c>
      <c r="C601" t="s">
        <v>755</v>
      </c>
      <c r="D601" t="s">
        <v>756</v>
      </c>
      <c r="E601" s="2"/>
      <c r="F601" t="s">
        <v>63</v>
      </c>
      <c r="G601" t="s">
        <v>688</v>
      </c>
      <c r="H601" t="s">
        <v>674</v>
      </c>
      <c r="I601"/>
    </row>
    <row r="602" spans="1:9">
      <c r="A602" t="s">
        <v>664</v>
      </c>
      <c r="B602" s="1" t="str">
        <f>"20061914"</f>
        <v>20061914</v>
      </c>
      <c r="C602" t="s">
        <v>757</v>
      </c>
      <c r="D602" t="s">
        <v>758</v>
      </c>
      <c r="E602" s="2"/>
      <c r="F602" t="s">
        <v>547</v>
      </c>
      <c r="G602" t="s">
        <v>80</v>
      </c>
      <c r="H602" t="s">
        <v>80</v>
      </c>
      <c r="I602"/>
    </row>
    <row r="603" spans="1:9">
      <c r="A603" t="s">
        <v>664</v>
      </c>
      <c r="B603" s="1" t="str">
        <f>"12016035"</f>
        <v>12016035</v>
      </c>
      <c r="C603" t="s">
        <v>759</v>
      </c>
      <c r="D603" t="s">
        <v>760</v>
      </c>
      <c r="E603" s="2"/>
      <c r="F603" t="s">
        <v>717</v>
      </c>
      <c r="G603" t="s">
        <v>705</v>
      </c>
      <c r="H603" t="s">
        <v>705</v>
      </c>
      <c r="I603"/>
    </row>
    <row r="604" spans="1:9">
      <c r="A604" t="s">
        <v>664</v>
      </c>
      <c r="B604" s="1" t="str">
        <f>"12016036"</f>
        <v>12016036</v>
      </c>
      <c r="C604" t="s">
        <v>759</v>
      </c>
      <c r="D604" t="s">
        <v>761</v>
      </c>
      <c r="E604" s="2"/>
      <c r="F604" t="s">
        <v>717</v>
      </c>
      <c r="G604" t="s">
        <v>762</v>
      </c>
      <c r="H604" t="s">
        <v>674</v>
      </c>
      <c r="I604"/>
    </row>
    <row r="605" spans="1:9">
      <c r="A605" t="s">
        <v>664</v>
      </c>
      <c r="B605" s="1" t="str">
        <f>"20021511"</f>
        <v>20021511</v>
      </c>
      <c r="C605" t="s">
        <v>759</v>
      </c>
      <c r="D605" t="s">
        <v>763</v>
      </c>
      <c r="E605" s="2"/>
      <c r="F605" t="s">
        <v>717</v>
      </c>
      <c r="G605" t="s">
        <v>705</v>
      </c>
      <c r="H605" t="s">
        <v>705</v>
      </c>
      <c r="I605"/>
    </row>
    <row r="606" spans="1:9">
      <c r="A606" t="s">
        <v>664</v>
      </c>
      <c r="B606" s="1" t="str">
        <f>"20762674"</f>
        <v>20762674</v>
      </c>
      <c r="C606" t="s">
        <v>764</v>
      </c>
      <c r="D606" t="s">
        <v>765</v>
      </c>
      <c r="E606" s="2"/>
      <c r="F606" t="s">
        <v>766</v>
      </c>
      <c r="G606" t="s">
        <v>232</v>
      </c>
      <c r="H606" t="s">
        <v>232</v>
      </c>
      <c r="I606"/>
    </row>
    <row r="607" spans="1:9">
      <c r="A607" t="s">
        <v>664</v>
      </c>
      <c r="B607" s="1" t="str">
        <f>"20189211"</f>
        <v>20189211</v>
      </c>
      <c r="C607" t="s">
        <v>764</v>
      </c>
      <c r="D607" t="s">
        <v>767</v>
      </c>
      <c r="E607" s="2"/>
      <c r="F607" t="s">
        <v>90</v>
      </c>
      <c r="G607" t="s">
        <v>516</v>
      </c>
      <c r="H607" t="s">
        <v>618</v>
      </c>
      <c r="I607"/>
    </row>
    <row r="608" spans="1:9">
      <c r="A608" t="s">
        <v>664</v>
      </c>
      <c r="B608" s="1" t="str">
        <f>"20189136"</f>
        <v>20189136</v>
      </c>
      <c r="C608" t="s">
        <v>764</v>
      </c>
      <c r="D608" t="s">
        <v>768</v>
      </c>
      <c r="E608" s="2"/>
      <c r="F608" t="s">
        <v>90</v>
      </c>
      <c r="G608" t="s">
        <v>516</v>
      </c>
      <c r="H608" t="s">
        <v>618</v>
      </c>
      <c r="I608"/>
    </row>
    <row r="609" spans="1:9">
      <c r="A609" t="s">
        <v>664</v>
      </c>
      <c r="B609" s="1" t="str">
        <f>"20171704"</f>
        <v>20171704</v>
      </c>
      <c r="C609" t="s">
        <v>769</v>
      </c>
      <c r="D609" t="s">
        <v>770</v>
      </c>
      <c r="E609" s="2"/>
      <c r="F609" t="s">
        <v>771</v>
      </c>
      <c r="G609" t="s">
        <v>772</v>
      </c>
      <c r="H609" t="s">
        <v>772</v>
      </c>
      <c r="I609"/>
    </row>
    <row r="610" spans="1:9">
      <c r="A610" t="s">
        <v>664</v>
      </c>
      <c r="B610" s="1" t="str">
        <f>"20012571"</f>
        <v>20012571</v>
      </c>
      <c r="C610" t="s">
        <v>769</v>
      </c>
      <c r="D610" t="s">
        <v>773</v>
      </c>
      <c r="E610" s="2"/>
      <c r="F610" t="s">
        <v>79</v>
      </c>
      <c r="G610" t="s">
        <v>774</v>
      </c>
      <c r="H610" t="s">
        <v>774</v>
      </c>
      <c r="I610"/>
    </row>
    <row r="611" spans="1:9">
      <c r="A611" t="s">
        <v>664</v>
      </c>
      <c r="B611" s="1" t="str">
        <f>"20171766"</f>
        <v>20171766</v>
      </c>
      <c r="C611" t="s">
        <v>769</v>
      </c>
      <c r="D611" t="s">
        <v>775</v>
      </c>
      <c r="E611" s="2"/>
      <c r="F611" t="s">
        <v>771</v>
      </c>
      <c r="G611" t="s">
        <v>776</v>
      </c>
      <c r="H611" t="s">
        <v>776</v>
      </c>
      <c r="I611"/>
    </row>
    <row r="612" spans="1:9">
      <c r="A612" t="s">
        <v>664</v>
      </c>
      <c r="B612" s="1" t="str">
        <f>"20045395"</f>
        <v>20045395</v>
      </c>
      <c r="C612" t="s">
        <v>769</v>
      </c>
      <c r="D612" t="s">
        <v>777</v>
      </c>
      <c r="E612" s="2"/>
      <c r="F612" t="s">
        <v>636</v>
      </c>
      <c r="G612" t="s">
        <v>774</v>
      </c>
      <c r="H612" t="s">
        <v>778</v>
      </c>
      <c r="I612"/>
    </row>
    <row r="613" spans="1:9">
      <c r="A613" t="s">
        <v>664</v>
      </c>
      <c r="B613" s="1" t="str">
        <f>"20097769"</f>
        <v>20097769</v>
      </c>
      <c r="C613" t="s">
        <v>769</v>
      </c>
      <c r="D613" t="s">
        <v>779</v>
      </c>
      <c r="E613" s="2"/>
      <c r="F613" t="s">
        <v>79</v>
      </c>
      <c r="G613" t="s">
        <v>780</v>
      </c>
      <c r="H613" t="s">
        <v>780</v>
      </c>
      <c r="I613"/>
    </row>
    <row r="614" spans="1:9">
      <c r="A614" t="s">
        <v>664</v>
      </c>
      <c r="B614" s="1" t="str">
        <f>"25466254"</f>
        <v>25466254</v>
      </c>
      <c r="C614" t="s">
        <v>769</v>
      </c>
      <c r="D614" t="s">
        <v>781</v>
      </c>
      <c r="E614" s="2"/>
      <c r="F614" t="s">
        <v>79</v>
      </c>
      <c r="G614" t="s">
        <v>776</v>
      </c>
      <c r="H614" t="s">
        <v>776</v>
      </c>
      <c r="I614"/>
    </row>
    <row r="615" spans="1:9">
      <c r="A615" t="s">
        <v>664</v>
      </c>
      <c r="B615" s="1" t="str">
        <f>"20045388"</f>
        <v>20045388</v>
      </c>
      <c r="C615" t="s">
        <v>769</v>
      </c>
      <c r="D615" t="s">
        <v>782</v>
      </c>
      <c r="E615" s="2"/>
      <c r="F615" t="s">
        <v>783</v>
      </c>
      <c r="G615" t="s">
        <v>673</v>
      </c>
      <c r="H615" t="s">
        <v>784</v>
      </c>
      <c r="I615"/>
    </row>
    <row r="616" spans="1:9">
      <c r="A616" t="s">
        <v>664</v>
      </c>
      <c r="B616" s="1" t="str">
        <f>"20045389"</f>
        <v>20045389</v>
      </c>
      <c r="C616" t="s">
        <v>769</v>
      </c>
      <c r="D616" t="s">
        <v>785</v>
      </c>
      <c r="E616" s="2"/>
      <c r="F616" t="s">
        <v>63</v>
      </c>
      <c r="G616" t="s">
        <v>706</v>
      </c>
      <c r="H616" t="s">
        <v>706</v>
      </c>
      <c r="I616"/>
    </row>
    <row r="617" spans="1:9">
      <c r="A617" t="s">
        <v>664</v>
      </c>
      <c r="B617" s="1" t="str">
        <f>"20097770"</f>
        <v>20097770</v>
      </c>
      <c r="C617" t="s">
        <v>769</v>
      </c>
      <c r="D617" t="s">
        <v>785</v>
      </c>
      <c r="E617" s="2"/>
      <c r="F617" t="s">
        <v>79</v>
      </c>
      <c r="G617" t="s">
        <v>774</v>
      </c>
      <c r="H617" t="s">
        <v>774</v>
      </c>
      <c r="I617"/>
    </row>
    <row r="618" spans="1:9">
      <c r="A618" t="s">
        <v>664</v>
      </c>
      <c r="B618" s="1" t="str">
        <f>"20045401"</f>
        <v>20045401</v>
      </c>
      <c r="C618" t="s">
        <v>769</v>
      </c>
      <c r="D618" t="s">
        <v>786</v>
      </c>
      <c r="E618" s="2"/>
      <c r="F618" t="s">
        <v>79</v>
      </c>
      <c r="G618" t="s">
        <v>780</v>
      </c>
      <c r="H618" t="s">
        <v>780</v>
      </c>
      <c r="I618"/>
    </row>
    <row r="619" spans="1:9">
      <c r="A619" t="s">
        <v>664</v>
      </c>
      <c r="B619" s="1" t="str">
        <f>"20074777"</f>
        <v>20074777</v>
      </c>
      <c r="C619" t="s">
        <v>769</v>
      </c>
      <c r="D619" t="s">
        <v>787</v>
      </c>
      <c r="E619" s="2"/>
      <c r="F619" t="s">
        <v>788</v>
      </c>
      <c r="G619" t="s">
        <v>789</v>
      </c>
      <c r="H619" t="s">
        <v>789</v>
      </c>
      <c r="I619"/>
    </row>
    <row r="620" spans="1:9">
      <c r="A620" t="s">
        <v>664</v>
      </c>
      <c r="B620" s="1" t="str">
        <f>"20032968"</f>
        <v>20032968</v>
      </c>
      <c r="C620" t="s">
        <v>769</v>
      </c>
      <c r="D620" t="s">
        <v>790</v>
      </c>
      <c r="E620" s="2"/>
      <c r="F620" t="s">
        <v>63</v>
      </c>
      <c r="G620" t="s">
        <v>706</v>
      </c>
      <c r="H620" t="s">
        <v>706</v>
      </c>
      <c r="I620"/>
    </row>
    <row r="621" spans="1:9">
      <c r="A621" t="s">
        <v>664</v>
      </c>
      <c r="B621" s="1" t="str">
        <f>"20029401"</f>
        <v>20029401</v>
      </c>
      <c r="C621" t="s">
        <v>769</v>
      </c>
      <c r="D621" t="s">
        <v>791</v>
      </c>
      <c r="E621" s="2"/>
      <c r="F621" t="s">
        <v>79</v>
      </c>
      <c r="G621" t="s">
        <v>780</v>
      </c>
      <c r="H621" t="s">
        <v>780</v>
      </c>
      <c r="I621"/>
    </row>
    <row r="622" spans="1:9">
      <c r="A622" t="s">
        <v>664</v>
      </c>
      <c r="B622" s="1" t="str">
        <f>"20138554"</f>
        <v>20138554</v>
      </c>
      <c r="C622" t="s">
        <v>792</v>
      </c>
      <c r="D622" t="s">
        <v>793</v>
      </c>
      <c r="E622" s="2"/>
      <c r="F622" t="s">
        <v>794</v>
      </c>
      <c r="G622" t="s">
        <v>795</v>
      </c>
      <c r="H622" t="s">
        <v>795</v>
      </c>
      <c r="I622"/>
    </row>
    <row r="623" spans="1:9">
      <c r="A623" t="s">
        <v>664</v>
      </c>
      <c r="B623" s="1" t="str">
        <f>"28759833"</f>
        <v>28759833</v>
      </c>
      <c r="C623" t="s">
        <v>320</v>
      </c>
      <c r="D623" t="s">
        <v>796</v>
      </c>
      <c r="E623" s="2"/>
      <c r="F623" t="s">
        <v>797</v>
      </c>
      <c r="G623" t="s">
        <v>299</v>
      </c>
      <c r="H623" t="s">
        <v>299</v>
      </c>
      <c r="I623"/>
    </row>
    <row r="624" spans="1:9">
      <c r="A624" t="s">
        <v>664</v>
      </c>
      <c r="B624" s="1" t="str">
        <f>"28759833.2"</f>
        <v>28759833.2</v>
      </c>
      <c r="C624" t="s">
        <v>320</v>
      </c>
      <c r="D624" t="s">
        <v>796</v>
      </c>
      <c r="E624" s="2"/>
      <c r="F624" t="s">
        <v>797</v>
      </c>
      <c r="G624" t="s">
        <v>299</v>
      </c>
      <c r="H624" t="s">
        <v>218</v>
      </c>
      <c r="I624"/>
    </row>
    <row r="625" spans="1:9">
      <c r="A625" t="s">
        <v>664</v>
      </c>
      <c r="B625" s="1" t="str">
        <f>"28759832"</f>
        <v>28759832</v>
      </c>
      <c r="C625" t="s">
        <v>320</v>
      </c>
      <c r="D625" t="s">
        <v>798</v>
      </c>
      <c r="E625" s="2"/>
      <c r="F625" t="s">
        <v>797</v>
      </c>
      <c r="G625" t="s">
        <v>299</v>
      </c>
      <c r="H625" t="s">
        <v>299</v>
      </c>
      <c r="I625"/>
    </row>
    <row r="626" spans="1:9">
      <c r="A626" t="s">
        <v>664</v>
      </c>
      <c r="B626" s="1" t="str">
        <f>"28759832.2"</f>
        <v>28759832.2</v>
      </c>
      <c r="C626" t="s">
        <v>320</v>
      </c>
      <c r="D626" t="s">
        <v>798</v>
      </c>
      <c r="E626" s="2"/>
      <c r="F626" t="s">
        <v>797</v>
      </c>
      <c r="G626" t="s">
        <v>299</v>
      </c>
      <c r="H626" t="s">
        <v>218</v>
      </c>
      <c r="I626"/>
    </row>
    <row r="627" spans="1:9">
      <c r="A627" t="s">
        <v>664</v>
      </c>
      <c r="B627" s="1" t="str">
        <f>"20072520"</f>
        <v>20072520</v>
      </c>
      <c r="C627" t="s">
        <v>320</v>
      </c>
      <c r="D627" t="s">
        <v>799</v>
      </c>
      <c r="E627" s="2"/>
      <c r="F627" t="s">
        <v>48</v>
      </c>
      <c r="G627" t="s">
        <v>148</v>
      </c>
      <c r="H627" t="s">
        <v>148</v>
      </c>
      <c r="I627"/>
    </row>
    <row r="628" spans="1:9">
      <c r="A628" t="s">
        <v>664</v>
      </c>
      <c r="B628" s="1" t="str">
        <f>"20072520.2"</f>
        <v>20072520.2</v>
      </c>
      <c r="C628" t="s">
        <v>320</v>
      </c>
      <c r="D628" t="s">
        <v>799</v>
      </c>
      <c r="E628" s="2"/>
      <c r="F628" t="s">
        <v>48</v>
      </c>
      <c r="G628" t="s">
        <v>148</v>
      </c>
      <c r="H628" t="s">
        <v>218</v>
      </c>
      <c r="I628"/>
    </row>
    <row r="629" spans="1:9">
      <c r="A629" t="s">
        <v>664</v>
      </c>
      <c r="B629" s="1" t="str">
        <f>"20222205"</f>
        <v>20222205</v>
      </c>
      <c r="C629" t="s">
        <v>320</v>
      </c>
      <c r="D629" t="s">
        <v>800</v>
      </c>
      <c r="E629" s="2"/>
      <c r="F629" t="s">
        <v>801</v>
      </c>
      <c r="G629" t="s">
        <v>616</v>
      </c>
      <c r="H629" t="s">
        <v>616</v>
      </c>
      <c r="I629"/>
    </row>
    <row r="630" spans="1:9">
      <c r="A630" t="s">
        <v>664</v>
      </c>
      <c r="B630" s="1" t="str">
        <f>"20222205.2"</f>
        <v>20222205.2</v>
      </c>
      <c r="C630" t="s">
        <v>320</v>
      </c>
      <c r="D630" t="s">
        <v>800</v>
      </c>
      <c r="E630" s="2"/>
      <c r="F630" t="s">
        <v>90</v>
      </c>
      <c r="G630" t="s">
        <v>616</v>
      </c>
      <c r="H630" t="s">
        <v>517</v>
      </c>
      <c r="I630"/>
    </row>
    <row r="631" spans="1:9">
      <c r="A631" t="s">
        <v>664</v>
      </c>
      <c r="B631" s="1" t="str">
        <f>"20090852"</f>
        <v>20090852</v>
      </c>
      <c r="C631" t="s">
        <v>802</v>
      </c>
      <c r="D631" t="s">
        <v>803</v>
      </c>
      <c r="E631" s="2"/>
      <c r="F631" t="s">
        <v>217</v>
      </c>
      <c r="G631" t="s">
        <v>516</v>
      </c>
      <c r="H631" t="s">
        <v>516</v>
      </c>
      <c r="I631"/>
    </row>
    <row r="632" spans="1:9">
      <c r="A632" t="s">
        <v>664</v>
      </c>
      <c r="B632" s="1" t="str">
        <f>"20090852.2"</f>
        <v>20090852.2</v>
      </c>
      <c r="C632" t="s">
        <v>802</v>
      </c>
      <c r="D632" t="s">
        <v>803</v>
      </c>
      <c r="E632" s="2"/>
      <c r="F632" t="s">
        <v>90</v>
      </c>
      <c r="G632" t="s">
        <v>516</v>
      </c>
      <c r="H632" t="s">
        <v>517</v>
      </c>
      <c r="I632"/>
    </row>
    <row r="633" spans="1:9">
      <c r="A633" t="s">
        <v>664</v>
      </c>
      <c r="B633" s="1" t="str">
        <f>"12105440"</f>
        <v>12105440</v>
      </c>
      <c r="C633" t="s">
        <v>804</v>
      </c>
      <c r="D633" t="s">
        <v>770</v>
      </c>
      <c r="E633" s="2"/>
      <c r="F633" t="s">
        <v>79</v>
      </c>
      <c r="G633" t="s">
        <v>706</v>
      </c>
      <c r="H633" t="s">
        <v>706</v>
      </c>
      <c r="I633"/>
    </row>
    <row r="634" spans="1:9">
      <c r="A634" t="s">
        <v>664</v>
      </c>
      <c r="B634" s="1" t="str">
        <f>"25540138"</f>
        <v>25540138</v>
      </c>
      <c r="C634" t="s">
        <v>804</v>
      </c>
      <c r="D634" t="s">
        <v>805</v>
      </c>
      <c r="E634" s="2"/>
      <c r="F634" t="s">
        <v>79</v>
      </c>
      <c r="G634" t="s">
        <v>706</v>
      </c>
      <c r="H634" t="s">
        <v>706</v>
      </c>
      <c r="I634"/>
    </row>
    <row r="635" spans="1:9">
      <c r="A635" t="s">
        <v>664</v>
      </c>
      <c r="B635" s="1" t="str">
        <f>"20897475"</f>
        <v>20897475</v>
      </c>
      <c r="C635" t="s">
        <v>804</v>
      </c>
      <c r="D635" t="s">
        <v>806</v>
      </c>
      <c r="E635" s="2"/>
      <c r="F635" t="s">
        <v>79</v>
      </c>
      <c r="G635" t="s">
        <v>688</v>
      </c>
      <c r="H635" t="s">
        <v>688</v>
      </c>
      <c r="I635"/>
    </row>
    <row r="636" spans="1:9">
      <c r="A636" t="s">
        <v>664</v>
      </c>
      <c r="B636" s="1" t="str">
        <f>"12046613"</f>
        <v>12046613</v>
      </c>
      <c r="C636" t="s">
        <v>804</v>
      </c>
      <c r="D636" t="s">
        <v>807</v>
      </c>
      <c r="E636" s="2"/>
      <c r="F636" t="s">
        <v>79</v>
      </c>
      <c r="G636" t="s">
        <v>706</v>
      </c>
      <c r="H636" t="s">
        <v>706</v>
      </c>
      <c r="I636"/>
    </row>
    <row r="637" spans="1:9">
      <c r="A637" t="s">
        <v>664</v>
      </c>
      <c r="B637" s="1" t="str">
        <f>"12024094"</f>
        <v>12024094</v>
      </c>
      <c r="C637" t="s">
        <v>804</v>
      </c>
      <c r="D637" t="s">
        <v>808</v>
      </c>
      <c r="E637" s="2"/>
      <c r="F637" t="s">
        <v>79</v>
      </c>
      <c r="G637" t="s">
        <v>706</v>
      </c>
      <c r="H637" t="s">
        <v>706</v>
      </c>
      <c r="I637"/>
    </row>
    <row r="638" spans="1:9">
      <c r="A638" t="s">
        <v>664</v>
      </c>
      <c r="B638" s="1" t="str">
        <f>"12704383"</f>
        <v>12704383</v>
      </c>
      <c r="C638" t="s">
        <v>804</v>
      </c>
      <c r="D638" t="s">
        <v>809</v>
      </c>
      <c r="E638" s="2"/>
      <c r="F638" t="s">
        <v>79</v>
      </c>
      <c r="G638" t="s">
        <v>810</v>
      </c>
      <c r="H638" t="s">
        <v>810</v>
      </c>
      <c r="I638"/>
    </row>
    <row r="639" spans="1:9">
      <c r="A639" t="s">
        <v>664</v>
      </c>
      <c r="B639" s="1" t="str">
        <f>"12024093"</f>
        <v>12024093</v>
      </c>
      <c r="C639" t="s">
        <v>804</v>
      </c>
      <c r="D639" t="s">
        <v>811</v>
      </c>
      <c r="E639" s="2"/>
      <c r="F639" t="s">
        <v>79</v>
      </c>
      <c r="G639" t="s">
        <v>706</v>
      </c>
      <c r="H639" t="s">
        <v>706</v>
      </c>
      <c r="I639"/>
    </row>
    <row r="640" spans="1:9">
      <c r="A640" t="s">
        <v>664</v>
      </c>
      <c r="B640" s="1" t="str">
        <f>"28071366"</f>
        <v>28071366</v>
      </c>
      <c r="C640" t="s">
        <v>804</v>
      </c>
      <c r="D640" t="s">
        <v>812</v>
      </c>
      <c r="E640" s="2"/>
      <c r="F640" t="s">
        <v>79</v>
      </c>
      <c r="G640" t="s">
        <v>810</v>
      </c>
      <c r="H640" t="s">
        <v>810</v>
      </c>
      <c r="I640"/>
    </row>
    <row r="641" spans="1:9">
      <c r="A641" t="s">
        <v>664</v>
      </c>
      <c r="B641" s="1" t="str">
        <f>"12046651"</f>
        <v>12046651</v>
      </c>
      <c r="C641" t="s">
        <v>804</v>
      </c>
      <c r="D641" t="s">
        <v>779</v>
      </c>
      <c r="E641" s="2"/>
      <c r="F641" t="s">
        <v>79</v>
      </c>
      <c r="G641" t="s">
        <v>706</v>
      </c>
      <c r="H641" t="s">
        <v>706</v>
      </c>
      <c r="I641"/>
    </row>
    <row r="642" spans="1:9">
      <c r="A642" t="s">
        <v>664</v>
      </c>
      <c r="B642" s="1" t="str">
        <f>"26313537"</f>
        <v>26313537</v>
      </c>
      <c r="C642" t="s">
        <v>804</v>
      </c>
      <c r="D642" t="s">
        <v>813</v>
      </c>
      <c r="E642" s="2"/>
      <c r="F642" t="s">
        <v>79</v>
      </c>
      <c r="G642" t="s">
        <v>810</v>
      </c>
      <c r="H642" t="s">
        <v>810</v>
      </c>
      <c r="I642"/>
    </row>
    <row r="643" spans="1:9">
      <c r="A643" t="s">
        <v>664</v>
      </c>
      <c r="B643" s="1" t="str">
        <f>"12133481"</f>
        <v>12133481</v>
      </c>
      <c r="C643" t="s">
        <v>804</v>
      </c>
      <c r="D643" t="s">
        <v>814</v>
      </c>
      <c r="E643" s="2"/>
      <c r="F643" t="s">
        <v>79</v>
      </c>
      <c r="G643" t="s">
        <v>688</v>
      </c>
      <c r="H643" t="s">
        <v>688</v>
      </c>
      <c r="I643"/>
    </row>
    <row r="644" spans="1:9">
      <c r="A644" t="s">
        <v>664</v>
      </c>
      <c r="B644" s="1" t="str">
        <f>"12831981"</f>
        <v>12831981</v>
      </c>
      <c r="C644" t="s">
        <v>804</v>
      </c>
      <c r="D644" t="s">
        <v>815</v>
      </c>
      <c r="E644" s="2"/>
      <c r="F644" t="s">
        <v>79</v>
      </c>
      <c r="G644" t="s">
        <v>810</v>
      </c>
      <c r="H644" t="s">
        <v>810</v>
      </c>
      <c r="I644"/>
    </row>
    <row r="645" spans="1:9">
      <c r="A645" t="s">
        <v>664</v>
      </c>
      <c r="B645" s="1" t="str">
        <f>"12024314"</f>
        <v>12024314</v>
      </c>
      <c r="C645" t="s">
        <v>804</v>
      </c>
      <c r="D645" t="s">
        <v>816</v>
      </c>
      <c r="E645" s="2"/>
      <c r="F645" t="s">
        <v>79</v>
      </c>
      <c r="G645" t="s">
        <v>706</v>
      </c>
      <c r="H645" t="s">
        <v>706</v>
      </c>
      <c r="I645"/>
    </row>
    <row r="646" spans="1:9">
      <c r="A646" t="s">
        <v>664</v>
      </c>
      <c r="B646" s="1" t="str">
        <f>"12046637"</f>
        <v>12046637</v>
      </c>
      <c r="C646" t="s">
        <v>804</v>
      </c>
      <c r="D646" t="s">
        <v>817</v>
      </c>
      <c r="E646" s="2"/>
      <c r="F646" t="s">
        <v>79</v>
      </c>
      <c r="G646" t="s">
        <v>706</v>
      </c>
      <c r="H646" t="s">
        <v>706</v>
      </c>
      <c r="I646"/>
    </row>
    <row r="647" spans="1:9">
      <c r="A647" t="s">
        <v>664</v>
      </c>
      <c r="B647" s="1" t="str">
        <f>"12046644"</f>
        <v>12046644</v>
      </c>
      <c r="C647" t="s">
        <v>804</v>
      </c>
      <c r="D647" t="s">
        <v>818</v>
      </c>
      <c r="E647" s="2"/>
      <c r="F647" t="s">
        <v>79</v>
      </c>
      <c r="G647" t="s">
        <v>776</v>
      </c>
      <c r="H647" t="s">
        <v>776</v>
      </c>
      <c r="I647"/>
    </row>
    <row r="648" spans="1:9">
      <c r="A648" t="s">
        <v>664</v>
      </c>
      <c r="B648" s="1" t="str">
        <f>"20021863"</f>
        <v>20021863</v>
      </c>
      <c r="C648" t="s">
        <v>804</v>
      </c>
      <c r="D648" t="s">
        <v>819</v>
      </c>
      <c r="E648" s="2"/>
      <c r="F648" t="s">
        <v>79</v>
      </c>
      <c r="G648" t="s">
        <v>706</v>
      </c>
      <c r="H648" t="s">
        <v>706</v>
      </c>
      <c r="I648"/>
    </row>
    <row r="649" spans="1:9">
      <c r="A649" t="s">
        <v>664</v>
      </c>
      <c r="B649" s="1" t="str">
        <f>"20055271"</f>
        <v>20055271</v>
      </c>
      <c r="C649" t="s">
        <v>804</v>
      </c>
      <c r="D649" t="s">
        <v>820</v>
      </c>
      <c r="E649" s="2"/>
      <c r="F649" t="s">
        <v>68</v>
      </c>
      <c r="G649" t="s">
        <v>571</v>
      </c>
      <c r="H649" t="s">
        <v>571</v>
      </c>
      <c r="I649"/>
    </row>
    <row r="650" spans="1:9">
      <c r="A650" t="s">
        <v>664</v>
      </c>
      <c r="B650" s="1" t="str">
        <f>"12513382"</f>
        <v>12513382</v>
      </c>
      <c r="C650" t="s">
        <v>804</v>
      </c>
      <c r="D650" t="s">
        <v>821</v>
      </c>
      <c r="E650" s="2"/>
      <c r="F650" t="s">
        <v>79</v>
      </c>
      <c r="G650" t="s">
        <v>706</v>
      </c>
      <c r="H650" t="s">
        <v>706</v>
      </c>
      <c r="I650"/>
    </row>
    <row r="651" spans="1:9">
      <c r="A651" t="s">
        <v>664</v>
      </c>
      <c r="B651" s="1" t="str">
        <f>"20046620"</f>
        <v>20046620</v>
      </c>
      <c r="C651" t="s">
        <v>804</v>
      </c>
      <c r="D651" t="s">
        <v>822</v>
      </c>
      <c r="E651" s="2"/>
      <c r="F651" t="s">
        <v>79</v>
      </c>
      <c r="G651" t="s">
        <v>706</v>
      </c>
      <c r="H651" t="s">
        <v>706</v>
      </c>
      <c r="I651"/>
    </row>
    <row r="652" spans="1:9">
      <c r="A652" t="s">
        <v>664</v>
      </c>
      <c r="B652" s="1" t="str">
        <f>"12039776"</f>
        <v>12039776</v>
      </c>
      <c r="C652" t="s">
        <v>804</v>
      </c>
      <c r="D652" t="s">
        <v>823</v>
      </c>
      <c r="E652" s="2"/>
      <c r="F652" t="s">
        <v>79</v>
      </c>
      <c r="G652" t="s">
        <v>688</v>
      </c>
      <c r="H652" t="s">
        <v>688</v>
      </c>
      <c r="I652"/>
    </row>
    <row r="653" spans="1:9">
      <c r="A653" t="s">
        <v>664</v>
      </c>
      <c r="B653" s="1" t="str">
        <f>"20603817"</f>
        <v>20603817</v>
      </c>
      <c r="C653" t="s">
        <v>804</v>
      </c>
      <c r="D653" t="s">
        <v>824</v>
      </c>
      <c r="E653" s="2"/>
      <c r="F653" t="s">
        <v>79</v>
      </c>
      <c r="G653" t="s">
        <v>688</v>
      </c>
      <c r="H653" t="s">
        <v>688</v>
      </c>
      <c r="I653"/>
    </row>
    <row r="654" spans="1:9">
      <c r="A654" t="s">
        <v>664</v>
      </c>
      <c r="B654" s="1" t="str">
        <f>"12018320"</f>
        <v>12018320</v>
      </c>
      <c r="C654" t="s">
        <v>804</v>
      </c>
      <c r="D654" t="s">
        <v>825</v>
      </c>
      <c r="E654" s="2"/>
      <c r="F654" t="s">
        <v>79</v>
      </c>
      <c r="G654" t="s">
        <v>688</v>
      </c>
      <c r="H654" t="s">
        <v>688</v>
      </c>
      <c r="I654"/>
    </row>
    <row r="655" spans="1:9">
      <c r="A655" t="s">
        <v>664</v>
      </c>
      <c r="B655" s="1" t="str">
        <f>"20357210"</f>
        <v>20357210</v>
      </c>
      <c r="C655" t="s">
        <v>826</v>
      </c>
      <c r="D655" t="s">
        <v>827</v>
      </c>
      <c r="E655" s="2"/>
      <c r="F655" t="s">
        <v>547</v>
      </c>
      <c r="G655" t="s">
        <v>177</v>
      </c>
      <c r="H655" t="s">
        <v>177</v>
      </c>
      <c r="I655"/>
    </row>
    <row r="656" spans="1:9">
      <c r="A656" t="s">
        <v>664</v>
      </c>
      <c r="B656" s="1" t="str">
        <f>"20709512"</f>
        <v>20709512</v>
      </c>
      <c r="C656" t="s">
        <v>826</v>
      </c>
      <c r="D656" t="s">
        <v>828</v>
      </c>
      <c r="E656" s="2"/>
      <c r="F656" t="s">
        <v>547</v>
      </c>
      <c r="G656" t="s">
        <v>177</v>
      </c>
      <c r="H656" t="s">
        <v>177</v>
      </c>
      <c r="I656"/>
    </row>
    <row r="657" spans="1:9">
      <c r="A657" t="s">
        <v>664</v>
      </c>
      <c r="B657" s="1" t="str">
        <f>"20706289"</f>
        <v>20706289</v>
      </c>
      <c r="C657" t="s">
        <v>826</v>
      </c>
      <c r="D657" t="s">
        <v>829</v>
      </c>
      <c r="E657" s="2"/>
      <c r="F657" t="s">
        <v>79</v>
      </c>
      <c r="G657" t="s">
        <v>82</v>
      </c>
      <c r="H657" t="s">
        <v>82</v>
      </c>
      <c r="I657"/>
    </row>
    <row r="658" spans="1:9">
      <c r="A658" t="s">
        <v>664</v>
      </c>
      <c r="B658" s="1" t="str">
        <f>"20265922"</f>
        <v>20265922</v>
      </c>
      <c r="C658" t="s">
        <v>830</v>
      </c>
      <c r="D658" t="s">
        <v>831</v>
      </c>
      <c r="E658" s="2"/>
      <c r="F658" t="s">
        <v>832</v>
      </c>
      <c r="G658" t="s">
        <v>695</v>
      </c>
      <c r="H658" t="s">
        <v>695</v>
      </c>
      <c r="I658"/>
    </row>
    <row r="659" spans="1:9">
      <c r="A659" t="s">
        <v>664</v>
      </c>
      <c r="B659" s="1" t="str">
        <f>"20265922.2"</f>
        <v>20265922.2</v>
      </c>
      <c r="C659" t="s">
        <v>830</v>
      </c>
      <c r="D659" t="s">
        <v>831</v>
      </c>
      <c r="E659" s="2"/>
      <c r="F659" t="s">
        <v>832</v>
      </c>
      <c r="G659" t="s">
        <v>695</v>
      </c>
      <c r="H659" t="s">
        <v>517</v>
      </c>
      <c r="I659"/>
    </row>
    <row r="660" spans="1:9">
      <c r="A660" t="s">
        <v>664</v>
      </c>
      <c r="B660" s="1" t="str">
        <f>"20107253"</f>
        <v>20107253</v>
      </c>
      <c r="C660" t="s">
        <v>830</v>
      </c>
      <c r="D660" t="s">
        <v>833</v>
      </c>
      <c r="E660" s="2"/>
      <c r="F660" t="s">
        <v>90</v>
      </c>
      <c r="G660" t="s">
        <v>82</v>
      </c>
      <c r="H660" t="s">
        <v>82</v>
      </c>
      <c r="I660"/>
    </row>
    <row r="661" spans="1:9">
      <c r="A661" t="s">
        <v>664</v>
      </c>
      <c r="B661" s="1" t="str">
        <f>"20107253.2"</f>
        <v>20107253.2</v>
      </c>
      <c r="C661" t="s">
        <v>830</v>
      </c>
      <c r="D661" t="s">
        <v>833</v>
      </c>
      <c r="E661" s="2"/>
      <c r="F661" t="s">
        <v>90</v>
      </c>
      <c r="G661" t="s">
        <v>82</v>
      </c>
      <c r="H661" t="s">
        <v>218</v>
      </c>
      <c r="I661"/>
    </row>
    <row r="662" spans="1:9">
      <c r="A662" t="s">
        <v>664</v>
      </c>
      <c r="B662" s="1" t="str">
        <f>"20107260"</f>
        <v>20107260</v>
      </c>
      <c r="C662" t="s">
        <v>830</v>
      </c>
      <c r="D662" t="s">
        <v>834</v>
      </c>
      <c r="E662" s="2"/>
      <c r="F662" t="s">
        <v>90</v>
      </c>
      <c r="G662" t="s">
        <v>571</v>
      </c>
      <c r="H662" t="s">
        <v>571</v>
      </c>
      <c r="I662"/>
    </row>
    <row r="663" spans="1:9">
      <c r="A663" t="s">
        <v>664</v>
      </c>
      <c r="B663" s="1" t="str">
        <f>"20107260.2"</f>
        <v>20107260.2</v>
      </c>
      <c r="C663" t="s">
        <v>830</v>
      </c>
      <c r="D663" t="s">
        <v>834</v>
      </c>
      <c r="E663" s="2"/>
      <c r="F663" t="s">
        <v>90</v>
      </c>
      <c r="G663" t="s">
        <v>571</v>
      </c>
      <c r="H663" t="s">
        <v>517</v>
      </c>
      <c r="I663"/>
    </row>
    <row r="664" spans="1:9">
      <c r="A664" t="s">
        <v>664</v>
      </c>
      <c r="B664" s="1" t="str">
        <f>"12093076"</f>
        <v>12093076</v>
      </c>
      <c r="C664" t="s">
        <v>830</v>
      </c>
      <c r="D664" t="s">
        <v>835</v>
      </c>
      <c r="E664" s="2"/>
      <c r="F664" t="s">
        <v>31</v>
      </c>
      <c r="G664" t="s">
        <v>533</v>
      </c>
      <c r="H664" t="s">
        <v>533</v>
      </c>
      <c r="I664"/>
    </row>
    <row r="665" spans="1:9">
      <c r="A665" t="s">
        <v>664</v>
      </c>
      <c r="B665" s="1" t="str">
        <f>"12093076.2"</f>
        <v>12093076.2</v>
      </c>
      <c r="C665" t="s">
        <v>830</v>
      </c>
      <c r="D665" t="s">
        <v>835</v>
      </c>
      <c r="E665" s="2"/>
      <c r="F665" t="s">
        <v>31</v>
      </c>
      <c r="G665" t="s">
        <v>533</v>
      </c>
      <c r="H665" t="s">
        <v>517</v>
      </c>
      <c r="I665"/>
    </row>
    <row r="666" spans="1:9">
      <c r="A666" t="s">
        <v>664</v>
      </c>
      <c r="B666" s="1" t="str">
        <f>"20029739"</f>
        <v>20029739</v>
      </c>
      <c r="C666" t="s">
        <v>830</v>
      </c>
      <c r="D666" t="s">
        <v>836</v>
      </c>
      <c r="E666" s="2"/>
      <c r="F666" t="s">
        <v>105</v>
      </c>
      <c r="G666" t="s">
        <v>837</v>
      </c>
      <c r="H666" t="s">
        <v>837</v>
      </c>
      <c r="I666"/>
    </row>
    <row r="667" spans="1:9">
      <c r="A667" t="s">
        <v>664</v>
      </c>
      <c r="B667" s="1" t="str">
        <f>"20029739.2"</f>
        <v>20029739.2</v>
      </c>
      <c r="C667" t="s">
        <v>830</v>
      </c>
      <c r="D667" t="s">
        <v>836</v>
      </c>
      <c r="E667" s="2"/>
      <c r="F667" t="s">
        <v>105</v>
      </c>
      <c r="G667" t="s">
        <v>837</v>
      </c>
      <c r="H667" t="s">
        <v>674</v>
      </c>
      <c r="I667"/>
    </row>
    <row r="668" spans="1:9">
      <c r="A668" t="s">
        <v>664</v>
      </c>
      <c r="B668" s="1" t="str">
        <f>"12015015"</f>
        <v>12015015</v>
      </c>
      <c r="C668" t="s">
        <v>830</v>
      </c>
      <c r="D668" t="s">
        <v>838</v>
      </c>
      <c r="E668" s="2"/>
      <c r="F668" t="s">
        <v>105</v>
      </c>
      <c r="G668" t="s">
        <v>533</v>
      </c>
      <c r="H668" t="s">
        <v>695</v>
      </c>
      <c r="I668"/>
    </row>
    <row r="669" spans="1:9">
      <c r="A669" t="s">
        <v>664</v>
      </c>
      <c r="B669" s="1" t="str">
        <f>"20041595"</f>
        <v>20041595</v>
      </c>
      <c r="C669" t="s">
        <v>830</v>
      </c>
      <c r="D669" t="s">
        <v>838</v>
      </c>
      <c r="E669" s="2"/>
      <c r="F669" t="s">
        <v>839</v>
      </c>
      <c r="G669" t="s">
        <v>533</v>
      </c>
      <c r="H669" t="s">
        <v>533</v>
      </c>
      <c r="I669"/>
    </row>
    <row r="670" spans="1:9">
      <c r="A670" t="s">
        <v>664</v>
      </c>
      <c r="B670" s="1" t="str">
        <f>"20041595.2"</f>
        <v>20041595.2</v>
      </c>
      <c r="C670" t="s">
        <v>830</v>
      </c>
      <c r="D670" t="s">
        <v>838</v>
      </c>
      <c r="E670" s="2"/>
      <c r="F670" t="s">
        <v>839</v>
      </c>
      <c r="G670" t="s">
        <v>533</v>
      </c>
      <c r="H670" t="s">
        <v>517</v>
      </c>
      <c r="I670"/>
    </row>
    <row r="671" spans="1:9">
      <c r="A671" t="s">
        <v>664</v>
      </c>
      <c r="B671" s="1" t="str">
        <f>"20046293"</f>
        <v>20046293</v>
      </c>
      <c r="C671" t="s">
        <v>830</v>
      </c>
      <c r="D671" t="s">
        <v>840</v>
      </c>
      <c r="E671" s="2"/>
      <c r="F671" t="s">
        <v>31</v>
      </c>
      <c r="G671" t="s">
        <v>795</v>
      </c>
      <c r="H671" t="s">
        <v>795</v>
      </c>
      <c r="I671"/>
    </row>
    <row r="672" spans="1:9">
      <c r="A672" t="s">
        <v>664</v>
      </c>
      <c r="B672" s="1" t="str">
        <f>"20046293.2"</f>
        <v>20046293.2</v>
      </c>
      <c r="C672" t="s">
        <v>830</v>
      </c>
      <c r="D672" t="s">
        <v>840</v>
      </c>
      <c r="E672" s="2"/>
      <c r="F672" t="s">
        <v>31</v>
      </c>
      <c r="G672" t="s">
        <v>795</v>
      </c>
      <c r="H672" t="s">
        <v>218</v>
      </c>
      <c r="I672"/>
    </row>
    <row r="673" spans="1:9">
      <c r="A673" t="s">
        <v>664</v>
      </c>
      <c r="B673" s="1" t="str">
        <f>"20036065"</f>
        <v>20036065</v>
      </c>
      <c r="C673" t="s">
        <v>830</v>
      </c>
      <c r="D673" t="s">
        <v>841</v>
      </c>
      <c r="E673" s="2"/>
      <c r="F673" t="s">
        <v>105</v>
      </c>
      <c r="G673" t="s">
        <v>232</v>
      </c>
      <c r="H673" t="s">
        <v>218</v>
      </c>
      <c r="I673"/>
    </row>
    <row r="674" spans="1:9">
      <c r="A674" t="s">
        <v>664</v>
      </c>
      <c r="B674" s="1" t="str">
        <f>"27389292"</f>
        <v>27389292</v>
      </c>
      <c r="C674" t="s">
        <v>830</v>
      </c>
      <c r="D674" t="s">
        <v>842</v>
      </c>
      <c r="E674" s="2"/>
      <c r="F674" t="s">
        <v>843</v>
      </c>
      <c r="G674" t="s">
        <v>175</v>
      </c>
      <c r="H674" t="s">
        <v>175</v>
      </c>
      <c r="I674"/>
    </row>
    <row r="675" spans="1:9">
      <c r="A675" t="s">
        <v>664</v>
      </c>
      <c r="B675" s="1" t="str">
        <f>"27389292.2"</f>
        <v>27389292.2</v>
      </c>
      <c r="C675" t="s">
        <v>830</v>
      </c>
      <c r="D675" t="s">
        <v>842</v>
      </c>
      <c r="E675" s="2"/>
      <c r="F675" t="s">
        <v>843</v>
      </c>
      <c r="G675" t="s">
        <v>175</v>
      </c>
      <c r="H675" t="s">
        <v>517</v>
      </c>
      <c r="I675"/>
    </row>
    <row r="676" spans="1:9">
      <c r="A676" t="s">
        <v>664</v>
      </c>
      <c r="B676" s="1" t="str">
        <f>"20265564"</f>
        <v>20265564</v>
      </c>
      <c r="C676" t="s">
        <v>830</v>
      </c>
      <c r="D676" t="s">
        <v>844</v>
      </c>
      <c r="E676" s="2"/>
      <c r="F676" t="s">
        <v>845</v>
      </c>
      <c r="G676" t="s">
        <v>695</v>
      </c>
      <c r="H676" t="s">
        <v>695</v>
      </c>
      <c r="I676"/>
    </row>
    <row r="677" spans="1:9">
      <c r="A677" t="s">
        <v>664</v>
      </c>
      <c r="B677" s="1" t="str">
        <f>"20265564.2"</f>
        <v>20265564.2</v>
      </c>
      <c r="C677" t="s">
        <v>830</v>
      </c>
      <c r="D677" t="s">
        <v>844</v>
      </c>
      <c r="E677" s="2"/>
      <c r="F677" t="s">
        <v>845</v>
      </c>
      <c r="G677" t="s">
        <v>695</v>
      </c>
      <c r="H677" t="s">
        <v>517</v>
      </c>
      <c r="I677"/>
    </row>
    <row r="678" spans="1:9">
      <c r="A678" t="s">
        <v>664</v>
      </c>
      <c r="B678" s="1" t="str">
        <f>"20045371"</f>
        <v>20045371</v>
      </c>
      <c r="C678" t="s">
        <v>846</v>
      </c>
      <c r="D678" t="s">
        <v>847</v>
      </c>
      <c r="E678" s="2"/>
      <c r="F678" t="s">
        <v>90</v>
      </c>
      <c r="G678" t="s">
        <v>19</v>
      </c>
      <c r="H678" t="s">
        <v>19</v>
      </c>
      <c r="I678"/>
    </row>
    <row r="679" spans="1:9">
      <c r="A679" t="s">
        <v>664</v>
      </c>
      <c r="B679" s="1" t="str">
        <f>"28924002"</f>
        <v>28924002</v>
      </c>
      <c r="C679" t="s">
        <v>846</v>
      </c>
      <c r="D679" t="s">
        <v>848</v>
      </c>
      <c r="E679" s="2"/>
      <c r="F679" t="s">
        <v>90</v>
      </c>
      <c r="G679" t="s">
        <v>19</v>
      </c>
      <c r="H679" t="s">
        <v>19</v>
      </c>
      <c r="I679"/>
    </row>
    <row r="680" spans="1:9">
      <c r="A680" t="s">
        <v>664</v>
      </c>
      <c r="B680" s="1" t="str">
        <f>"25526934"</f>
        <v>25526934</v>
      </c>
      <c r="C680" t="s">
        <v>846</v>
      </c>
      <c r="D680" t="s">
        <v>849</v>
      </c>
      <c r="E680" s="2"/>
      <c r="F680" t="s">
        <v>90</v>
      </c>
      <c r="G680" t="s">
        <v>19</v>
      </c>
      <c r="H680" t="s">
        <v>19</v>
      </c>
      <c r="I680"/>
    </row>
    <row r="681" spans="1:9">
      <c r="A681" t="s">
        <v>664</v>
      </c>
      <c r="B681" s="1" t="str">
        <f>"20306821"</f>
        <v>20306821</v>
      </c>
      <c r="C681" t="s">
        <v>846</v>
      </c>
      <c r="D681" t="s">
        <v>850</v>
      </c>
      <c r="E681" s="2"/>
      <c r="F681" t="s">
        <v>90</v>
      </c>
      <c r="G681" t="s">
        <v>19</v>
      </c>
      <c r="H681" t="s">
        <v>19</v>
      </c>
      <c r="I681"/>
    </row>
    <row r="682" spans="1:9">
      <c r="A682" t="s">
        <v>664</v>
      </c>
      <c r="B682" s="1" t="str">
        <f>"20109875"</f>
        <v>20109875</v>
      </c>
      <c r="C682" t="s">
        <v>846</v>
      </c>
      <c r="D682" t="s">
        <v>851</v>
      </c>
      <c r="E682" s="2"/>
      <c r="F682" t="s">
        <v>79</v>
      </c>
      <c r="G682" t="s">
        <v>705</v>
      </c>
      <c r="H682" t="s">
        <v>705</v>
      </c>
      <c r="I682"/>
    </row>
    <row r="683" spans="1:9">
      <c r="A683" t="s">
        <v>664</v>
      </c>
      <c r="B683" s="1" t="str">
        <f>"20026494"</f>
        <v>20026494</v>
      </c>
      <c r="C683" t="s">
        <v>846</v>
      </c>
      <c r="D683" t="s">
        <v>852</v>
      </c>
      <c r="E683" s="2"/>
      <c r="F683" t="s">
        <v>79</v>
      </c>
      <c r="G683" t="s">
        <v>705</v>
      </c>
      <c r="H683" t="s">
        <v>705</v>
      </c>
      <c r="I683"/>
    </row>
    <row r="684" spans="1:9">
      <c r="A684" t="s">
        <v>664</v>
      </c>
      <c r="B684" s="1" t="str">
        <f>"20093938"</f>
        <v>20093938</v>
      </c>
      <c r="C684" t="s">
        <v>846</v>
      </c>
      <c r="D684" t="s">
        <v>853</v>
      </c>
      <c r="E684" s="2"/>
      <c r="F684" t="s">
        <v>79</v>
      </c>
      <c r="G684" t="s">
        <v>705</v>
      </c>
      <c r="H684" t="s">
        <v>705</v>
      </c>
      <c r="I684"/>
    </row>
    <row r="685" spans="1:9">
      <c r="A685" t="s">
        <v>664</v>
      </c>
      <c r="B685" s="1" t="str">
        <f>"20026496"</f>
        <v>20026496</v>
      </c>
      <c r="C685" t="s">
        <v>846</v>
      </c>
      <c r="D685" t="s">
        <v>854</v>
      </c>
      <c r="E685" s="2"/>
      <c r="F685" t="s">
        <v>79</v>
      </c>
      <c r="G685" t="s">
        <v>705</v>
      </c>
      <c r="H685" t="s">
        <v>705</v>
      </c>
      <c r="I685"/>
    </row>
    <row r="686" spans="1:9">
      <c r="A686" t="s">
        <v>664</v>
      </c>
      <c r="B686" s="1" t="str">
        <f>"20088958"</f>
        <v>20088958</v>
      </c>
      <c r="C686" t="s">
        <v>855</v>
      </c>
      <c r="D686" t="s">
        <v>856</v>
      </c>
      <c r="E686" s="2"/>
      <c r="F686" t="s">
        <v>857</v>
      </c>
      <c r="G686" t="s">
        <v>516</v>
      </c>
      <c r="H686" t="s">
        <v>516</v>
      </c>
      <c r="I686"/>
    </row>
    <row r="687" spans="1:9">
      <c r="A687" t="s">
        <v>858</v>
      </c>
      <c r="B687" s="1" t="str">
        <f>"20040116"</f>
        <v>20040116</v>
      </c>
      <c r="C687" t="s">
        <v>260</v>
      </c>
      <c r="D687" t="s">
        <v>859</v>
      </c>
      <c r="E687" s="2"/>
      <c r="F687" t="s">
        <v>105</v>
      </c>
      <c r="G687" t="s">
        <v>227</v>
      </c>
      <c r="H687" t="s">
        <v>227</v>
      </c>
      <c r="I687"/>
    </row>
    <row r="688" spans="1:9">
      <c r="A688" t="s">
        <v>858</v>
      </c>
      <c r="B688" s="1" t="str">
        <f>"20528027"</f>
        <v>20528027</v>
      </c>
      <c r="C688" t="s">
        <v>260</v>
      </c>
      <c r="D688" t="s">
        <v>860</v>
      </c>
      <c r="E688" s="2"/>
      <c r="F688"/>
      <c r="G688" t="s">
        <v>614</v>
      </c>
      <c r="H688" t="s">
        <v>614</v>
      </c>
      <c r="I688"/>
    </row>
    <row r="689" spans="1:9">
      <c r="A689" t="s">
        <v>858</v>
      </c>
      <c r="B689" s="1" t="str">
        <f>"20274856"</f>
        <v>20274856</v>
      </c>
      <c r="C689" t="s">
        <v>260</v>
      </c>
      <c r="D689" t="s">
        <v>861</v>
      </c>
      <c r="E689" s="2"/>
      <c r="F689" t="s">
        <v>862</v>
      </c>
      <c r="G689" t="s">
        <v>614</v>
      </c>
      <c r="H689" t="s">
        <v>614</v>
      </c>
      <c r="I689"/>
    </row>
    <row r="690" spans="1:9">
      <c r="A690" t="s">
        <v>858</v>
      </c>
      <c r="B690" s="1" t="str">
        <f>"20104313"</f>
        <v>20104313</v>
      </c>
      <c r="C690" t="s">
        <v>260</v>
      </c>
      <c r="D690" t="s">
        <v>863</v>
      </c>
      <c r="E690" s="2"/>
      <c r="F690"/>
      <c r="G690" t="s">
        <v>227</v>
      </c>
      <c r="H690" t="s">
        <v>227</v>
      </c>
      <c r="I690"/>
    </row>
    <row r="691" spans="1:9">
      <c r="A691" t="s">
        <v>858</v>
      </c>
      <c r="B691" s="1" t="str">
        <f>"20294090"</f>
        <v>20294090</v>
      </c>
      <c r="C691" t="s">
        <v>864</v>
      </c>
      <c r="D691" t="s">
        <v>865</v>
      </c>
      <c r="E691" s="2"/>
      <c r="F691"/>
      <c r="G691" t="s">
        <v>80</v>
      </c>
      <c r="H691" t="s">
        <v>80</v>
      </c>
      <c r="I691"/>
    </row>
    <row r="692" spans="1:9">
      <c r="A692" t="s">
        <v>858</v>
      </c>
      <c r="B692" s="1" t="str">
        <f>"20294090.2"</f>
        <v>20294090.2</v>
      </c>
      <c r="C692" t="s">
        <v>864</v>
      </c>
      <c r="D692" t="s">
        <v>865</v>
      </c>
      <c r="E692" s="2"/>
      <c r="F692"/>
      <c r="G692" t="s">
        <v>80</v>
      </c>
      <c r="H692" t="s">
        <v>218</v>
      </c>
      <c r="I692"/>
    </row>
    <row r="693" spans="1:9">
      <c r="A693" t="s">
        <v>858</v>
      </c>
      <c r="B693" s="1" t="str">
        <f>"20035785"</f>
        <v>20035785</v>
      </c>
      <c r="C693" t="s">
        <v>866</v>
      </c>
      <c r="D693" t="s">
        <v>867</v>
      </c>
      <c r="E693" s="2"/>
      <c r="F693"/>
      <c r="G693" t="s">
        <v>868</v>
      </c>
      <c r="H693" t="s">
        <v>868</v>
      </c>
      <c r="I693"/>
    </row>
    <row r="694" spans="1:9">
      <c r="A694" t="s">
        <v>858</v>
      </c>
      <c r="B694" s="1" t="str">
        <f>"20837150"</f>
        <v>20837150</v>
      </c>
      <c r="C694" t="s">
        <v>866</v>
      </c>
      <c r="D694" t="s">
        <v>869</v>
      </c>
      <c r="E694" s="2"/>
      <c r="F694"/>
      <c r="G694" t="s">
        <v>80</v>
      </c>
      <c r="H694" t="s">
        <v>80</v>
      </c>
      <c r="I694"/>
    </row>
    <row r="695" spans="1:9">
      <c r="A695" t="s">
        <v>858</v>
      </c>
      <c r="B695" s="1" t="str">
        <f>"20837143"</f>
        <v>20837143</v>
      </c>
      <c r="C695" t="s">
        <v>866</v>
      </c>
      <c r="D695" t="s">
        <v>870</v>
      </c>
      <c r="E695" s="2"/>
      <c r="F695"/>
      <c r="G695" t="s">
        <v>80</v>
      </c>
      <c r="H695" t="s">
        <v>80</v>
      </c>
      <c r="I695"/>
    </row>
    <row r="696" spans="1:9">
      <c r="A696" t="s">
        <v>858</v>
      </c>
      <c r="B696" s="1" t="str">
        <f>"20837167"</f>
        <v>20837167</v>
      </c>
      <c r="C696" t="s">
        <v>866</v>
      </c>
      <c r="D696" t="s">
        <v>871</v>
      </c>
      <c r="E696" s="2"/>
      <c r="F696"/>
      <c r="G696" t="s">
        <v>80</v>
      </c>
      <c r="H696" t="s">
        <v>80</v>
      </c>
      <c r="I696"/>
    </row>
    <row r="697" spans="1:9">
      <c r="A697" t="s">
        <v>858</v>
      </c>
      <c r="B697" s="1" t="str">
        <f>"20047054"</f>
        <v>20047054</v>
      </c>
      <c r="C697" t="s">
        <v>707</v>
      </c>
      <c r="D697" t="s">
        <v>872</v>
      </c>
      <c r="E697" s="2"/>
      <c r="F697" t="s">
        <v>873</v>
      </c>
      <c r="G697" t="s">
        <v>868</v>
      </c>
      <c r="H697" t="s">
        <v>868</v>
      </c>
      <c r="I697"/>
    </row>
    <row r="698" spans="1:9">
      <c r="A698" t="s">
        <v>858</v>
      </c>
      <c r="B698" s="1" t="str">
        <f>"20047153"</f>
        <v>20047153</v>
      </c>
      <c r="C698" t="s">
        <v>707</v>
      </c>
      <c r="D698" t="s">
        <v>874</v>
      </c>
      <c r="E698" s="2"/>
      <c r="F698"/>
      <c r="G698" t="s">
        <v>868</v>
      </c>
      <c r="H698" t="s">
        <v>868</v>
      </c>
      <c r="I698"/>
    </row>
    <row r="699" spans="1:9">
      <c r="A699" t="s">
        <v>858</v>
      </c>
      <c r="B699" s="1" t="str">
        <f>"20294847"</f>
        <v>20294847</v>
      </c>
      <c r="C699" t="s">
        <v>875</v>
      </c>
      <c r="D699" t="s">
        <v>876</v>
      </c>
      <c r="E699" s="2"/>
      <c r="F699" t="s">
        <v>877</v>
      </c>
      <c r="G699" t="s">
        <v>878</v>
      </c>
      <c r="H699" t="s">
        <v>878</v>
      </c>
      <c r="I699"/>
    </row>
    <row r="700" spans="1:9">
      <c r="A700" t="s">
        <v>858</v>
      </c>
      <c r="B700" s="1" t="str">
        <f>"20294830"</f>
        <v>20294830</v>
      </c>
      <c r="C700" t="s">
        <v>875</v>
      </c>
      <c r="D700" t="s">
        <v>879</v>
      </c>
      <c r="E700" s="2"/>
      <c r="F700" t="s">
        <v>880</v>
      </c>
      <c r="G700" t="s">
        <v>623</v>
      </c>
      <c r="H700" t="s">
        <v>623</v>
      </c>
      <c r="I700"/>
    </row>
    <row r="701" spans="1:9">
      <c r="A701" t="s">
        <v>858</v>
      </c>
      <c r="B701" s="1" t="str">
        <f>"20714154"</f>
        <v>20714154</v>
      </c>
      <c r="C701" t="s">
        <v>225</v>
      </c>
      <c r="D701" t="s">
        <v>881</v>
      </c>
      <c r="E701" s="2"/>
      <c r="F701" t="s">
        <v>90</v>
      </c>
      <c r="G701" t="s">
        <v>614</v>
      </c>
      <c r="H701" t="s">
        <v>516</v>
      </c>
      <c r="I701"/>
    </row>
    <row r="702" spans="1:9">
      <c r="A702" t="s">
        <v>858</v>
      </c>
      <c r="B702" s="1" t="str">
        <f>"20512514"</f>
        <v>20512514</v>
      </c>
      <c r="C702" t="s">
        <v>882</v>
      </c>
      <c r="D702" t="s">
        <v>883</v>
      </c>
      <c r="E702" s="2"/>
      <c r="F702" t="s">
        <v>68</v>
      </c>
      <c r="G702" t="s">
        <v>516</v>
      </c>
      <c r="H702" t="s">
        <v>516</v>
      </c>
      <c r="I702"/>
    </row>
    <row r="703" spans="1:9">
      <c r="A703" t="s">
        <v>858</v>
      </c>
      <c r="B703" s="1" t="str">
        <f>"20512514.2"</f>
        <v>20512514.2</v>
      </c>
      <c r="C703" t="s">
        <v>882</v>
      </c>
      <c r="D703" t="s">
        <v>883</v>
      </c>
      <c r="E703" s="2"/>
      <c r="F703" t="s">
        <v>68</v>
      </c>
      <c r="G703" t="s">
        <v>516</v>
      </c>
      <c r="H703" t="s">
        <v>517</v>
      </c>
      <c r="I703"/>
    </row>
    <row r="704" spans="1:9">
      <c r="A704" t="s">
        <v>858</v>
      </c>
      <c r="B704" s="1" t="str">
        <f>"20030827"</f>
        <v>20030827</v>
      </c>
      <c r="C704" t="s">
        <v>882</v>
      </c>
      <c r="D704" t="s">
        <v>884</v>
      </c>
      <c r="E704" s="2"/>
      <c r="F704" t="s">
        <v>68</v>
      </c>
      <c r="G704" t="s">
        <v>695</v>
      </c>
      <c r="H704" t="s">
        <v>695</v>
      </c>
      <c r="I704"/>
    </row>
    <row r="705" spans="1:9">
      <c r="A705" t="s">
        <v>858</v>
      </c>
      <c r="B705" s="1" t="str">
        <f>"20030827.2"</f>
        <v>20030827.2</v>
      </c>
      <c r="C705" t="s">
        <v>882</v>
      </c>
      <c r="D705" t="s">
        <v>884</v>
      </c>
      <c r="E705" s="2"/>
      <c r="F705" t="s">
        <v>68</v>
      </c>
      <c r="G705" t="s">
        <v>695</v>
      </c>
      <c r="H705" t="s">
        <v>517</v>
      </c>
      <c r="I705"/>
    </row>
    <row r="706" spans="1:9">
      <c r="A706" t="s">
        <v>858</v>
      </c>
      <c r="B706" s="1" t="str">
        <f>"20105099"</f>
        <v>20105099</v>
      </c>
      <c r="C706" t="s">
        <v>882</v>
      </c>
      <c r="D706" t="s">
        <v>885</v>
      </c>
      <c r="E706" s="2"/>
      <c r="F706" t="s">
        <v>68</v>
      </c>
      <c r="G706" t="s">
        <v>614</v>
      </c>
      <c r="H706" t="s">
        <v>886</v>
      </c>
      <c r="I706"/>
    </row>
    <row r="707" spans="1:9">
      <c r="A707" t="s">
        <v>858</v>
      </c>
      <c r="B707" s="1" t="str">
        <f>"20230825"</f>
        <v>20230825</v>
      </c>
      <c r="C707" t="s">
        <v>882</v>
      </c>
      <c r="D707" t="s">
        <v>885</v>
      </c>
      <c r="E707" s="2"/>
      <c r="F707" t="s">
        <v>36</v>
      </c>
      <c r="G707" t="s">
        <v>614</v>
      </c>
      <c r="H707" t="s">
        <v>614</v>
      </c>
      <c r="I707"/>
    </row>
    <row r="708" spans="1:9">
      <c r="A708" t="s">
        <v>858</v>
      </c>
      <c r="B708" s="1" t="str">
        <f>"20230825.2"</f>
        <v>20230825.2</v>
      </c>
      <c r="C708" t="s">
        <v>882</v>
      </c>
      <c r="D708" t="s">
        <v>885</v>
      </c>
      <c r="E708" s="2"/>
      <c r="F708" t="s">
        <v>36</v>
      </c>
      <c r="G708" t="s">
        <v>614</v>
      </c>
      <c r="H708" t="s">
        <v>517</v>
      </c>
      <c r="I708"/>
    </row>
    <row r="709" spans="1:9">
      <c r="A709" t="s">
        <v>858</v>
      </c>
      <c r="B709" s="1" t="str">
        <f>"20681423"</f>
        <v>20681423</v>
      </c>
      <c r="C709" t="s">
        <v>882</v>
      </c>
      <c r="D709" t="s">
        <v>887</v>
      </c>
      <c r="E709" s="2"/>
      <c r="F709" t="s">
        <v>68</v>
      </c>
      <c r="G709" t="s">
        <v>620</v>
      </c>
      <c r="H709" t="s">
        <v>620</v>
      </c>
      <c r="I709"/>
    </row>
    <row r="710" spans="1:9">
      <c r="A710" t="s">
        <v>858</v>
      </c>
      <c r="B710" s="1" t="str">
        <f>"20681423.2"</f>
        <v>20681423.2</v>
      </c>
      <c r="C710" t="s">
        <v>882</v>
      </c>
      <c r="D710" t="s">
        <v>887</v>
      </c>
      <c r="E710" s="2"/>
      <c r="F710" t="s">
        <v>68</v>
      </c>
      <c r="G710" t="s">
        <v>620</v>
      </c>
      <c r="H710" t="s">
        <v>517</v>
      </c>
      <c r="I710"/>
    </row>
    <row r="711" spans="1:9">
      <c r="A711" t="s">
        <v>858</v>
      </c>
      <c r="B711" s="1" t="str">
        <f>"20048150"</f>
        <v>20048150</v>
      </c>
      <c r="C711" t="s">
        <v>882</v>
      </c>
      <c r="D711" t="s">
        <v>888</v>
      </c>
      <c r="E711" s="2"/>
      <c r="F711" t="s">
        <v>68</v>
      </c>
      <c r="G711" t="s">
        <v>889</v>
      </c>
      <c r="H711" t="s">
        <v>889</v>
      </c>
      <c r="I711"/>
    </row>
    <row r="712" spans="1:9">
      <c r="A712" t="s">
        <v>858</v>
      </c>
      <c r="B712" s="1" t="str">
        <f>"20048150.2"</f>
        <v>20048150.2</v>
      </c>
      <c r="C712" t="s">
        <v>882</v>
      </c>
      <c r="D712" t="s">
        <v>888</v>
      </c>
      <c r="E712" s="2"/>
      <c r="F712" t="s">
        <v>68</v>
      </c>
      <c r="G712" t="s">
        <v>890</v>
      </c>
      <c r="H712" t="s">
        <v>517</v>
      </c>
      <c r="I712"/>
    </row>
    <row r="713" spans="1:9">
      <c r="A713" t="s">
        <v>858</v>
      </c>
      <c r="B713" s="1" t="str">
        <f>"20081997"</f>
        <v>20081997</v>
      </c>
      <c r="C713" t="s">
        <v>882</v>
      </c>
      <c r="D713" t="s">
        <v>891</v>
      </c>
      <c r="E713" s="2"/>
      <c r="F713" t="s">
        <v>90</v>
      </c>
      <c r="G713" t="s">
        <v>516</v>
      </c>
      <c r="H713" t="s">
        <v>516</v>
      </c>
      <c r="I713"/>
    </row>
    <row r="714" spans="1:9">
      <c r="A714" t="s">
        <v>858</v>
      </c>
      <c r="B714" s="1" t="str">
        <f>"20081997.2"</f>
        <v>20081997.2</v>
      </c>
      <c r="C714" t="s">
        <v>882</v>
      </c>
      <c r="D714" t="s">
        <v>891</v>
      </c>
      <c r="E714" s="2"/>
      <c r="F714" t="s">
        <v>90</v>
      </c>
      <c r="G714" t="s">
        <v>516</v>
      </c>
      <c r="H714" t="s">
        <v>517</v>
      </c>
      <c r="I714"/>
    </row>
    <row r="715" spans="1:9">
      <c r="A715" t="s">
        <v>858</v>
      </c>
      <c r="B715" s="1" t="str">
        <f>"20110031"</f>
        <v>20110031</v>
      </c>
      <c r="C715" t="s">
        <v>882</v>
      </c>
      <c r="D715" t="s">
        <v>892</v>
      </c>
      <c r="E715" s="2"/>
      <c r="F715" t="s">
        <v>68</v>
      </c>
      <c r="G715" t="s">
        <v>516</v>
      </c>
      <c r="H715" t="s">
        <v>516</v>
      </c>
      <c r="I715"/>
    </row>
    <row r="716" spans="1:9">
      <c r="A716" t="s">
        <v>858</v>
      </c>
      <c r="B716" s="1" t="str">
        <f>"20110031.2"</f>
        <v>20110031.2</v>
      </c>
      <c r="C716" t="s">
        <v>882</v>
      </c>
      <c r="D716" t="s">
        <v>892</v>
      </c>
      <c r="E716" s="2"/>
      <c r="F716" t="s">
        <v>68</v>
      </c>
      <c r="G716" t="s">
        <v>516</v>
      </c>
      <c r="H716" t="s">
        <v>517</v>
      </c>
      <c r="I716"/>
    </row>
    <row r="717" spans="1:9">
      <c r="A717" t="s">
        <v>858</v>
      </c>
      <c r="B717" s="1" t="str">
        <f>"20043353"</f>
        <v>20043353</v>
      </c>
      <c r="C717" t="s">
        <v>882</v>
      </c>
      <c r="D717" t="s">
        <v>893</v>
      </c>
      <c r="E717" s="2"/>
      <c r="F717" t="s">
        <v>68</v>
      </c>
      <c r="G717" t="s">
        <v>614</v>
      </c>
      <c r="H717" t="s">
        <v>894</v>
      </c>
      <c r="I717"/>
    </row>
    <row r="718" spans="1:9">
      <c r="A718" t="s">
        <v>858</v>
      </c>
      <c r="B718" s="1" t="str">
        <f>"20099398"</f>
        <v>20099398</v>
      </c>
      <c r="C718" t="s">
        <v>882</v>
      </c>
      <c r="D718" t="s">
        <v>895</v>
      </c>
      <c r="E718" s="2"/>
      <c r="F718" t="s">
        <v>68</v>
      </c>
      <c r="G718" t="s">
        <v>890</v>
      </c>
      <c r="H718" t="s">
        <v>886</v>
      </c>
      <c r="I718"/>
    </row>
    <row r="719" spans="1:9">
      <c r="A719" t="s">
        <v>858</v>
      </c>
      <c r="B719" s="1" t="str">
        <f>"20549817"</f>
        <v>20549817</v>
      </c>
      <c r="C719" t="s">
        <v>882</v>
      </c>
      <c r="D719" t="s">
        <v>896</v>
      </c>
      <c r="E719" s="2"/>
      <c r="F719" t="s">
        <v>880</v>
      </c>
      <c r="G719" t="s">
        <v>897</v>
      </c>
      <c r="H719" t="s">
        <v>897</v>
      </c>
      <c r="I719"/>
    </row>
    <row r="720" spans="1:9">
      <c r="A720" t="s">
        <v>858</v>
      </c>
      <c r="B720" s="1" t="str">
        <f>"20071813"</f>
        <v>20071813</v>
      </c>
      <c r="C720" t="s">
        <v>882</v>
      </c>
      <c r="D720" t="s">
        <v>898</v>
      </c>
      <c r="E720" s="2"/>
      <c r="F720" t="s">
        <v>547</v>
      </c>
      <c r="G720" t="s">
        <v>598</v>
      </c>
      <c r="H720" t="s">
        <v>533</v>
      </c>
      <c r="I720"/>
    </row>
    <row r="721" spans="1:9">
      <c r="A721" t="s">
        <v>858</v>
      </c>
      <c r="B721" s="1" t="str">
        <f>"20022440"</f>
        <v>20022440</v>
      </c>
      <c r="C721" t="s">
        <v>882</v>
      </c>
      <c r="D721" t="s">
        <v>899</v>
      </c>
      <c r="E721" s="2"/>
      <c r="F721" t="s">
        <v>68</v>
      </c>
      <c r="G721" t="s">
        <v>900</v>
      </c>
      <c r="H721" t="s">
        <v>900</v>
      </c>
      <c r="I721"/>
    </row>
    <row r="722" spans="1:9">
      <c r="A722" t="s">
        <v>858</v>
      </c>
      <c r="B722" s="1" t="str">
        <f>"20022440.2"</f>
        <v>20022440.2</v>
      </c>
      <c r="C722" t="s">
        <v>882</v>
      </c>
      <c r="D722" t="s">
        <v>899</v>
      </c>
      <c r="E722" s="2"/>
      <c r="F722" t="s">
        <v>68</v>
      </c>
      <c r="G722" t="s">
        <v>900</v>
      </c>
      <c r="H722" t="s">
        <v>517</v>
      </c>
      <c r="I722"/>
    </row>
    <row r="723" spans="1:9">
      <c r="A723" t="s">
        <v>858</v>
      </c>
      <c r="B723" s="1" t="str">
        <f>"20298364"</f>
        <v>20298364</v>
      </c>
      <c r="C723" t="s">
        <v>882</v>
      </c>
      <c r="D723" t="s">
        <v>901</v>
      </c>
      <c r="E723" s="2"/>
      <c r="F723" t="s">
        <v>569</v>
      </c>
      <c r="G723" t="s">
        <v>890</v>
      </c>
      <c r="H723" t="s">
        <v>890</v>
      </c>
      <c r="I723"/>
    </row>
    <row r="724" spans="1:9">
      <c r="A724" t="s">
        <v>858</v>
      </c>
      <c r="B724" s="1" t="str">
        <f>"20298364.2"</f>
        <v>20298364.2</v>
      </c>
      <c r="C724" t="s">
        <v>882</v>
      </c>
      <c r="D724" t="s">
        <v>901</v>
      </c>
      <c r="E724" s="2"/>
      <c r="F724" t="s">
        <v>569</v>
      </c>
      <c r="G724" t="s">
        <v>616</v>
      </c>
      <c r="H724" t="s">
        <v>517</v>
      </c>
      <c r="I724"/>
    </row>
    <row r="725" spans="1:9">
      <c r="A725" t="s">
        <v>858</v>
      </c>
      <c r="B725" s="1" t="str">
        <f>"20549824"</f>
        <v>20549824</v>
      </c>
      <c r="C725" t="s">
        <v>882</v>
      </c>
      <c r="D725" t="s">
        <v>902</v>
      </c>
      <c r="E725" s="2"/>
      <c r="F725" t="s">
        <v>68</v>
      </c>
      <c r="G725" t="s">
        <v>620</v>
      </c>
      <c r="H725" t="s">
        <v>620</v>
      </c>
      <c r="I725"/>
    </row>
    <row r="726" spans="1:9">
      <c r="A726" t="s">
        <v>858</v>
      </c>
      <c r="B726" s="1" t="str">
        <f>"20549824.2"</f>
        <v>20549824.2</v>
      </c>
      <c r="C726" t="s">
        <v>882</v>
      </c>
      <c r="D726" t="s">
        <v>902</v>
      </c>
      <c r="E726" s="2"/>
      <c r="F726" t="s">
        <v>68</v>
      </c>
      <c r="G726" t="s">
        <v>620</v>
      </c>
      <c r="H726" t="s">
        <v>517</v>
      </c>
      <c r="I726"/>
    </row>
    <row r="727" spans="1:9">
      <c r="A727" t="s">
        <v>858</v>
      </c>
      <c r="B727" s="1" t="str">
        <f>"20016553"</f>
        <v>20016553</v>
      </c>
      <c r="C727" t="s">
        <v>882</v>
      </c>
      <c r="D727" t="s">
        <v>903</v>
      </c>
      <c r="E727" s="2"/>
      <c r="F727" t="s">
        <v>569</v>
      </c>
      <c r="G727" t="s">
        <v>516</v>
      </c>
      <c r="H727" t="s">
        <v>516</v>
      </c>
      <c r="I727"/>
    </row>
    <row r="728" spans="1:9">
      <c r="A728" t="s">
        <v>858</v>
      </c>
      <c r="B728" s="1" t="str">
        <f>"20016553.2"</f>
        <v>20016553.2</v>
      </c>
      <c r="C728" t="s">
        <v>882</v>
      </c>
      <c r="D728" t="s">
        <v>903</v>
      </c>
      <c r="E728" s="2"/>
      <c r="F728" t="s">
        <v>569</v>
      </c>
      <c r="G728" t="s">
        <v>516</v>
      </c>
      <c r="H728" t="s">
        <v>517</v>
      </c>
      <c r="I728"/>
    </row>
    <row r="729" spans="1:9">
      <c r="A729" t="s">
        <v>858</v>
      </c>
      <c r="B729" s="1" t="str">
        <f>"20549831"</f>
        <v>20549831</v>
      </c>
      <c r="C729" t="s">
        <v>882</v>
      </c>
      <c r="D729" t="s">
        <v>904</v>
      </c>
      <c r="E729" s="2"/>
      <c r="F729" t="s">
        <v>68</v>
      </c>
      <c r="G729" t="s">
        <v>616</v>
      </c>
      <c r="H729" t="s">
        <v>616</v>
      </c>
      <c r="I729"/>
    </row>
    <row r="730" spans="1:9">
      <c r="A730" t="s">
        <v>858</v>
      </c>
      <c r="B730" s="1" t="str">
        <f>"20549831.2"</f>
        <v>20549831.2</v>
      </c>
      <c r="C730" t="s">
        <v>882</v>
      </c>
      <c r="D730" t="s">
        <v>904</v>
      </c>
      <c r="E730" s="2"/>
      <c r="F730" t="s">
        <v>68</v>
      </c>
      <c r="G730" t="s">
        <v>616</v>
      </c>
      <c r="H730" t="s">
        <v>517</v>
      </c>
      <c r="I730"/>
    </row>
    <row r="731" spans="1:9">
      <c r="A731" t="s">
        <v>858</v>
      </c>
      <c r="B731" s="1" t="str">
        <f>"22807634"</f>
        <v>22807634</v>
      </c>
      <c r="C731" t="s">
        <v>882</v>
      </c>
      <c r="D731" t="s">
        <v>905</v>
      </c>
      <c r="E731" s="2"/>
      <c r="F731" t="s">
        <v>68</v>
      </c>
      <c r="G731" t="s">
        <v>616</v>
      </c>
      <c r="H731" t="s">
        <v>616</v>
      </c>
      <c r="I731"/>
    </row>
    <row r="732" spans="1:9">
      <c r="A732" t="s">
        <v>858</v>
      </c>
      <c r="B732" s="1" t="str">
        <f>"22807634.2"</f>
        <v>22807634.2</v>
      </c>
      <c r="C732" t="s">
        <v>882</v>
      </c>
      <c r="D732" t="s">
        <v>905</v>
      </c>
      <c r="E732" s="2"/>
      <c r="F732" t="s">
        <v>68</v>
      </c>
      <c r="G732" t="s">
        <v>616</v>
      </c>
      <c r="H732" t="s">
        <v>517</v>
      </c>
      <c r="I732"/>
    </row>
    <row r="733" spans="1:9">
      <c r="A733" t="s">
        <v>858</v>
      </c>
      <c r="B733" s="1" t="str">
        <f>"20031367"</f>
        <v>20031367</v>
      </c>
      <c r="C733" t="s">
        <v>882</v>
      </c>
      <c r="D733" t="s">
        <v>906</v>
      </c>
      <c r="E733" s="2"/>
      <c r="F733" t="s">
        <v>907</v>
      </c>
      <c r="G733" t="s">
        <v>610</v>
      </c>
      <c r="H733" t="s">
        <v>614</v>
      </c>
      <c r="I733"/>
    </row>
    <row r="734" spans="1:9">
      <c r="A734" t="s">
        <v>858</v>
      </c>
      <c r="B734" s="1" t="str">
        <f>"20031367.2"</f>
        <v>20031367.2</v>
      </c>
      <c r="C734" t="s">
        <v>882</v>
      </c>
      <c r="D734" t="s">
        <v>906</v>
      </c>
      <c r="E734" s="2"/>
      <c r="F734" t="s">
        <v>68</v>
      </c>
      <c r="G734" t="s">
        <v>610</v>
      </c>
      <c r="H734" t="s">
        <v>517</v>
      </c>
      <c r="I734"/>
    </row>
    <row r="735" spans="1:9">
      <c r="A735" t="s">
        <v>858</v>
      </c>
      <c r="B735" s="1" t="str">
        <f>"20295011"</f>
        <v>20295011</v>
      </c>
      <c r="C735" t="s">
        <v>882</v>
      </c>
      <c r="D735" t="s">
        <v>908</v>
      </c>
      <c r="E735" s="2"/>
      <c r="F735" t="s">
        <v>90</v>
      </c>
      <c r="G735" t="s">
        <v>620</v>
      </c>
      <c r="H735" t="s">
        <v>620</v>
      </c>
      <c r="I735"/>
    </row>
    <row r="736" spans="1:9">
      <c r="A736" t="s">
        <v>858</v>
      </c>
      <c r="B736" s="1" t="str">
        <f>"20295011.2"</f>
        <v>20295011.2</v>
      </c>
      <c r="C736" t="s">
        <v>882</v>
      </c>
      <c r="D736" t="s">
        <v>908</v>
      </c>
      <c r="E736" s="2"/>
      <c r="F736" t="s">
        <v>90</v>
      </c>
      <c r="G736" t="s">
        <v>620</v>
      </c>
      <c r="H736" t="s">
        <v>517</v>
      </c>
      <c r="I736"/>
    </row>
    <row r="737" spans="1:9">
      <c r="A737" t="s">
        <v>858</v>
      </c>
      <c r="B737" s="1" t="str">
        <f>"20119348"</f>
        <v>20119348</v>
      </c>
      <c r="C737" t="s">
        <v>882</v>
      </c>
      <c r="D737" t="s">
        <v>909</v>
      </c>
      <c r="E737" s="2"/>
      <c r="F737" t="s">
        <v>68</v>
      </c>
      <c r="G737" t="s">
        <v>889</v>
      </c>
      <c r="H737" t="s">
        <v>889</v>
      </c>
      <c r="I737"/>
    </row>
    <row r="738" spans="1:9">
      <c r="A738" t="s">
        <v>858</v>
      </c>
      <c r="B738" s="1" t="str">
        <f>"20119348.2"</f>
        <v>20119348.2</v>
      </c>
      <c r="C738" t="s">
        <v>882</v>
      </c>
      <c r="D738" t="s">
        <v>909</v>
      </c>
      <c r="E738" s="2"/>
      <c r="F738" t="s">
        <v>68</v>
      </c>
      <c r="G738" t="s">
        <v>890</v>
      </c>
      <c r="H738" t="s">
        <v>517</v>
      </c>
      <c r="I738"/>
    </row>
    <row r="739" spans="1:9">
      <c r="A739" t="s">
        <v>858</v>
      </c>
      <c r="B739" s="1" t="str">
        <f>"20024581"</f>
        <v>20024581</v>
      </c>
      <c r="C739" t="s">
        <v>882</v>
      </c>
      <c r="D739" t="s">
        <v>910</v>
      </c>
      <c r="E739" s="2"/>
      <c r="F739" t="s">
        <v>68</v>
      </c>
      <c r="G739" t="s">
        <v>516</v>
      </c>
      <c r="H739" t="s">
        <v>516</v>
      </c>
      <c r="I739"/>
    </row>
    <row r="740" spans="1:9">
      <c r="A740" t="s">
        <v>858</v>
      </c>
      <c r="B740" s="1" t="str">
        <f>"20024581.2"</f>
        <v>20024581.2</v>
      </c>
      <c r="C740" t="s">
        <v>882</v>
      </c>
      <c r="D740" t="s">
        <v>910</v>
      </c>
      <c r="E740" s="2"/>
      <c r="F740" t="s">
        <v>68</v>
      </c>
      <c r="G740" t="s">
        <v>516</v>
      </c>
      <c r="H740" t="s">
        <v>517</v>
      </c>
      <c r="I740"/>
    </row>
    <row r="741" spans="1:9">
      <c r="A741" t="s">
        <v>858</v>
      </c>
      <c r="B741" s="1" t="str">
        <f>"20268152"</f>
        <v>20268152</v>
      </c>
      <c r="C741" t="s">
        <v>911</v>
      </c>
      <c r="D741" t="s">
        <v>912</v>
      </c>
      <c r="E741" s="2"/>
      <c r="F741" t="s">
        <v>547</v>
      </c>
      <c r="G741" t="s">
        <v>913</v>
      </c>
      <c r="H741" t="s">
        <v>913</v>
      </c>
      <c r="I741"/>
    </row>
    <row r="742" spans="1:9">
      <c r="A742" t="s">
        <v>858</v>
      </c>
      <c r="B742" s="1" t="str">
        <f>"20400778"</f>
        <v>20400778</v>
      </c>
      <c r="C742" t="s">
        <v>914</v>
      </c>
      <c r="D742" t="s">
        <v>915</v>
      </c>
      <c r="E742" s="2"/>
      <c r="F742" t="s">
        <v>68</v>
      </c>
      <c r="G742" t="s">
        <v>620</v>
      </c>
      <c r="H742" t="s">
        <v>620</v>
      </c>
      <c r="I742"/>
    </row>
    <row r="743" spans="1:9">
      <c r="A743" t="s">
        <v>858</v>
      </c>
      <c r="B743" s="1" t="str">
        <f>"20400778.2"</f>
        <v>20400778.2</v>
      </c>
      <c r="C743" t="s">
        <v>914</v>
      </c>
      <c r="D743" t="s">
        <v>915</v>
      </c>
      <c r="E743" s="2"/>
      <c r="F743" t="s">
        <v>68</v>
      </c>
      <c r="G743" t="s">
        <v>620</v>
      </c>
      <c r="H743" t="s">
        <v>517</v>
      </c>
      <c r="I743"/>
    </row>
    <row r="744" spans="1:9">
      <c r="A744" t="s">
        <v>858</v>
      </c>
      <c r="B744" s="1" t="str">
        <f>"20400780"</f>
        <v>20400780</v>
      </c>
      <c r="C744" t="s">
        <v>914</v>
      </c>
      <c r="D744" t="s">
        <v>916</v>
      </c>
      <c r="E744" s="2"/>
      <c r="F744" t="s">
        <v>68</v>
      </c>
      <c r="G744" t="s">
        <v>620</v>
      </c>
      <c r="H744" t="s">
        <v>620</v>
      </c>
      <c r="I744"/>
    </row>
    <row r="745" spans="1:9">
      <c r="A745" t="s">
        <v>858</v>
      </c>
      <c r="B745" s="1" t="str">
        <f>"20400780.2"</f>
        <v>20400780.2</v>
      </c>
      <c r="C745" t="s">
        <v>914</v>
      </c>
      <c r="D745" t="s">
        <v>916</v>
      </c>
      <c r="E745" s="2"/>
      <c r="F745" t="s">
        <v>68</v>
      </c>
      <c r="G745" t="s">
        <v>620</v>
      </c>
      <c r="H745" t="s">
        <v>517</v>
      </c>
      <c r="I745"/>
    </row>
    <row r="746" spans="1:9">
      <c r="A746" t="s">
        <v>858</v>
      </c>
      <c r="B746" s="1" t="str">
        <f>"20014155"</f>
        <v>20014155</v>
      </c>
      <c r="C746" t="s">
        <v>914</v>
      </c>
      <c r="D746" t="s">
        <v>917</v>
      </c>
      <c r="E746" s="2"/>
      <c r="F746" t="s">
        <v>68</v>
      </c>
      <c r="G746" t="s">
        <v>516</v>
      </c>
      <c r="H746" t="s">
        <v>516</v>
      </c>
      <c r="I746"/>
    </row>
    <row r="747" spans="1:9">
      <c r="A747" t="s">
        <v>858</v>
      </c>
      <c r="B747" s="1" t="str">
        <f>"20014155.2"</f>
        <v>20014155.2</v>
      </c>
      <c r="C747" t="s">
        <v>914</v>
      </c>
      <c r="D747" t="s">
        <v>917</v>
      </c>
      <c r="E747" s="2"/>
      <c r="F747" t="s">
        <v>68</v>
      </c>
      <c r="G747" t="s">
        <v>516</v>
      </c>
      <c r="H747" t="s">
        <v>517</v>
      </c>
      <c r="I747"/>
    </row>
    <row r="748" spans="1:9">
      <c r="A748" t="s">
        <v>858</v>
      </c>
      <c r="B748" s="1" t="str">
        <f>"20014162"</f>
        <v>20014162</v>
      </c>
      <c r="C748" t="s">
        <v>914</v>
      </c>
      <c r="D748" t="s">
        <v>918</v>
      </c>
      <c r="E748" s="2"/>
      <c r="F748" t="s">
        <v>68</v>
      </c>
      <c r="G748" t="s">
        <v>516</v>
      </c>
      <c r="H748" t="s">
        <v>516</v>
      </c>
      <c r="I748"/>
    </row>
    <row r="749" spans="1:9">
      <c r="A749" t="s">
        <v>858</v>
      </c>
      <c r="B749" s="1" t="str">
        <f>"20014162.2"</f>
        <v>20014162.2</v>
      </c>
      <c r="C749" t="s">
        <v>914</v>
      </c>
      <c r="D749" t="s">
        <v>918</v>
      </c>
      <c r="E749" s="2"/>
      <c r="F749" t="s">
        <v>68</v>
      </c>
      <c r="G749" t="s">
        <v>516</v>
      </c>
      <c r="H749" t="s">
        <v>517</v>
      </c>
      <c r="I749"/>
    </row>
    <row r="750" spans="1:9">
      <c r="A750" t="s">
        <v>858</v>
      </c>
      <c r="B750" s="1" t="str">
        <f>"20010164"</f>
        <v>20010164</v>
      </c>
      <c r="C750" t="s">
        <v>914</v>
      </c>
      <c r="D750" t="s">
        <v>919</v>
      </c>
      <c r="E750" s="2"/>
      <c r="F750" t="s">
        <v>68</v>
      </c>
      <c r="G750" t="s">
        <v>516</v>
      </c>
      <c r="H750" t="s">
        <v>516</v>
      </c>
      <c r="I750"/>
    </row>
    <row r="751" spans="1:9">
      <c r="A751" t="s">
        <v>858</v>
      </c>
      <c r="B751" s="1" t="str">
        <f>"20010164.2"</f>
        <v>20010164.2</v>
      </c>
      <c r="C751" t="s">
        <v>914</v>
      </c>
      <c r="D751" t="s">
        <v>919</v>
      </c>
      <c r="E751" s="2"/>
      <c r="F751" t="s">
        <v>68</v>
      </c>
      <c r="G751" t="s">
        <v>516</v>
      </c>
      <c r="H751" t="s">
        <v>517</v>
      </c>
      <c r="I751"/>
    </row>
    <row r="752" spans="1:9">
      <c r="A752" t="s">
        <v>858</v>
      </c>
      <c r="B752" s="1" t="str">
        <f>"20017385"</f>
        <v>20017385</v>
      </c>
      <c r="C752" t="s">
        <v>914</v>
      </c>
      <c r="D752" t="s">
        <v>920</v>
      </c>
      <c r="E752" s="2"/>
      <c r="F752" t="s">
        <v>68</v>
      </c>
      <c r="G752" t="s">
        <v>620</v>
      </c>
      <c r="H752" t="s">
        <v>620</v>
      </c>
      <c r="I752"/>
    </row>
    <row r="753" spans="1:9">
      <c r="A753" t="s">
        <v>858</v>
      </c>
      <c r="B753" s="1" t="str">
        <f>"20017385.2"</f>
        <v>20017385.2</v>
      </c>
      <c r="C753" t="s">
        <v>914</v>
      </c>
      <c r="D753" t="s">
        <v>920</v>
      </c>
      <c r="E753" s="2"/>
      <c r="F753" t="s">
        <v>68</v>
      </c>
      <c r="G753" t="s">
        <v>620</v>
      </c>
      <c r="H753" t="s">
        <v>517</v>
      </c>
      <c r="I753"/>
    </row>
    <row r="754" spans="1:9">
      <c r="A754" t="s">
        <v>858</v>
      </c>
      <c r="B754" s="1" t="str">
        <f>"20111137"</f>
        <v>20111137</v>
      </c>
      <c r="C754" t="s">
        <v>914</v>
      </c>
      <c r="D754" t="s">
        <v>921</v>
      </c>
      <c r="E754" s="2"/>
      <c r="F754" t="s">
        <v>68</v>
      </c>
      <c r="G754" t="s">
        <v>922</v>
      </c>
      <c r="H754" t="s">
        <v>922</v>
      </c>
      <c r="I754"/>
    </row>
    <row r="755" spans="1:9">
      <c r="A755" t="s">
        <v>858</v>
      </c>
      <c r="B755" s="1" t="str">
        <f>"20111137.2"</f>
        <v>20111137.2</v>
      </c>
      <c r="C755" t="s">
        <v>914</v>
      </c>
      <c r="D755" t="s">
        <v>921</v>
      </c>
      <c r="E755" s="2"/>
      <c r="F755" t="s">
        <v>68</v>
      </c>
      <c r="G755" t="s">
        <v>516</v>
      </c>
      <c r="H755" t="s">
        <v>517</v>
      </c>
      <c r="I755"/>
    </row>
    <row r="756" spans="1:9">
      <c r="A756" t="s">
        <v>858</v>
      </c>
      <c r="B756" s="1" t="str">
        <f>"20400781"</f>
        <v>20400781</v>
      </c>
      <c r="C756" t="s">
        <v>914</v>
      </c>
      <c r="D756" t="s">
        <v>923</v>
      </c>
      <c r="E756" s="2"/>
      <c r="F756" t="s">
        <v>68</v>
      </c>
      <c r="G756" t="s">
        <v>516</v>
      </c>
      <c r="H756" t="s">
        <v>922</v>
      </c>
      <c r="I756"/>
    </row>
    <row r="757" spans="1:9">
      <c r="A757" t="s">
        <v>858</v>
      </c>
      <c r="B757" s="1" t="str">
        <f>"20076832"</f>
        <v>20076832</v>
      </c>
      <c r="C757" t="s">
        <v>914</v>
      </c>
      <c r="D757" t="s">
        <v>924</v>
      </c>
      <c r="E757" s="2"/>
      <c r="F757" t="s">
        <v>68</v>
      </c>
      <c r="G757" t="s">
        <v>922</v>
      </c>
      <c r="H757" t="s">
        <v>922</v>
      </c>
      <c r="I757"/>
    </row>
    <row r="758" spans="1:9">
      <c r="A758" t="s">
        <v>858</v>
      </c>
      <c r="B758" s="1" t="str">
        <f>"20076832.2"</f>
        <v>20076832.2</v>
      </c>
      <c r="C758" t="s">
        <v>914</v>
      </c>
      <c r="D758" t="s">
        <v>924</v>
      </c>
      <c r="E758" s="2"/>
      <c r="F758" t="s">
        <v>68</v>
      </c>
      <c r="G758" t="s">
        <v>516</v>
      </c>
      <c r="H758" t="s">
        <v>517</v>
      </c>
      <c r="I758"/>
    </row>
    <row r="759" spans="1:9">
      <c r="A759" t="s">
        <v>858</v>
      </c>
      <c r="B759" s="1" t="str">
        <f>"20573409"</f>
        <v>20573409</v>
      </c>
      <c r="C759" t="s">
        <v>925</v>
      </c>
      <c r="D759" t="s">
        <v>926</v>
      </c>
      <c r="E759" s="2"/>
      <c r="F759"/>
      <c r="G759" t="s">
        <v>571</v>
      </c>
      <c r="H759" t="s">
        <v>571</v>
      </c>
      <c r="I759"/>
    </row>
    <row r="760" spans="1:9">
      <c r="A760" t="s">
        <v>858</v>
      </c>
      <c r="B760" s="1" t="str">
        <f>"12015014"</f>
        <v>12015014</v>
      </c>
      <c r="C760" t="s">
        <v>633</v>
      </c>
      <c r="D760" t="s">
        <v>927</v>
      </c>
      <c r="E760" s="2"/>
      <c r="F760" t="s">
        <v>79</v>
      </c>
      <c r="G760" t="s">
        <v>695</v>
      </c>
      <c r="H760" t="s">
        <v>695</v>
      </c>
      <c r="I760"/>
    </row>
    <row r="761" spans="1:9">
      <c r="A761" t="s">
        <v>858</v>
      </c>
      <c r="B761" s="1" t="str">
        <f>"12015018"</f>
        <v>12015018</v>
      </c>
      <c r="C761" t="s">
        <v>633</v>
      </c>
      <c r="D761" t="s">
        <v>928</v>
      </c>
      <c r="E761" s="2"/>
      <c r="F761" t="s">
        <v>79</v>
      </c>
      <c r="G761" t="s">
        <v>695</v>
      </c>
      <c r="H761" t="s">
        <v>695</v>
      </c>
      <c r="I761"/>
    </row>
    <row r="762" spans="1:9">
      <c r="A762" t="s">
        <v>858</v>
      </c>
      <c r="B762" s="1" t="str">
        <f>"12015013"</f>
        <v>12015013</v>
      </c>
      <c r="C762" t="s">
        <v>633</v>
      </c>
      <c r="D762" t="s">
        <v>929</v>
      </c>
      <c r="E762" s="2"/>
      <c r="F762" t="s">
        <v>79</v>
      </c>
      <c r="G762" t="s">
        <v>695</v>
      </c>
      <c r="H762" t="s">
        <v>695</v>
      </c>
      <c r="I762"/>
    </row>
    <row r="763" spans="1:9">
      <c r="A763" t="s">
        <v>858</v>
      </c>
      <c r="B763" s="1" t="str">
        <f>"12015019"</f>
        <v>12015019</v>
      </c>
      <c r="C763" t="s">
        <v>633</v>
      </c>
      <c r="D763" t="s">
        <v>930</v>
      </c>
      <c r="E763" s="2"/>
      <c r="F763" t="s">
        <v>31</v>
      </c>
      <c r="G763" t="s">
        <v>598</v>
      </c>
      <c r="H763" t="s">
        <v>598</v>
      </c>
      <c r="I763"/>
    </row>
    <row r="764" spans="1:9">
      <c r="A764" t="s">
        <v>858</v>
      </c>
      <c r="B764" s="1" t="str">
        <f>"12015001"</f>
        <v>12015001</v>
      </c>
      <c r="C764" t="s">
        <v>931</v>
      </c>
      <c r="D764" t="s">
        <v>932</v>
      </c>
      <c r="E764" s="2"/>
      <c r="F764" t="s">
        <v>933</v>
      </c>
      <c r="G764" t="s">
        <v>80</v>
      </c>
      <c r="H764" t="s">
        <v>80</v>
      </c>
      <c r="I764"/>
    </row>
    <row r="765" spans="1:9">
      <c r="A765" t="s">
        <v>858</v>
      </c>
      <c r="B765" s="1" t="str">
        <f>"20098599"</f>
        <v>20098599</v>
      </c>
      <c r="C765" t="s">
        <v>934</v>
      </c>
      <c r="D765" t="s">
        <v>935</v>
      </c>
      <c r="E765" s="2"/>
      <c r="F765" t="s">
        <v>68</v>
      </c>
      <c r="G765" t="s">
        <v>616</v>
      </c>
      <c r="H765" t="s">
        <v>616</v>
      </c>
      <c r="I765"/>
    </row>
    <row r="766" spans="1:9">
      <c r="A766" t="s">
        <v>858</v>
      </c>
      <c r="B766" s="1" t="str">
        <f>"20098599.2"</f>
        <v>20098599.2</v>
      </c>
      <c r="C766" t="s">
        <v>934</v>
      </c>
      <c r="D766" t="s">
        <v>935</v>
      </c>
      <c r="E766" s="2"/>
      <c r="F766" t="s">
        <v>68</v>
      </c>
      <c r="G766" t="s">
        <v>616</v>
      </c>
      <c r="H766" t="s">
        <v>517</v>
      </c>
      <c r="I766"/>
    </row>
    <row r="767" spans="1:9">
      <c r="A767" t="s">
        <v>858</v>
      </c>
      <c r="B767" s="1" t="str">
        <f>"20019761"</f>
        <v>20019761</v>
      </c>
      <c r="C767" t="s">
        <v>934</v>
      </c>
      <c r="D767" t="s">
        <v>936</v>
      </c>
      <c r="E767" s="2"/>
      <c r="F767" t="s">
        <v>140</v>
      </c>
      <c r="G767" t="s">
        <v>937</v>
      </c>
      <c r="H767" t="s">
        <v>937</v>
      </c>
      <c r="I767"/>
    </row>
    <row r="768" spans="1:9">
      <c r="A768" t="s">
        <v>858</v>
      </c>
      <c r="B768" s="1" t="str">
        <f>"20294496"</f>
        <v>20294496</v>
      </c>
      <c r="C768" t="s">
        <v>938</v>
      </c>
      <c r="D768" t="s">
        <v>939</v>
      </c>
      <c r="E768" s="2"/>
      <c r="F768"/>
      <c r="G768" t="s">
        <v>940</v>
      </c>
      <c r="H768" t="s">
        <v>940</v>
      </c>
      <c r="I768"/>
    </row>
    <row r="769" spans="1:9">
      <c r="A769" t="s">
        <v>858</v>
      </c>
      <c r="B769" s="1" t="str">
        <f>"20019471"</f>
        <v>20019471</v>
      </c>
      <c r="C769" t="s">
        <v>938</v>
      </c>
      <c r="D769" t="s">
        <v>941</v>
      </c>
      <c r="E769" s="2"/>
      <c r="F769"/>
      <c r="G769" t="s">
        <v>897</v>
      </c>
      <c r="H769" t="s">
        <v>897</v>
      </c>
      <c r="I769"/>
    </row>
    <row r="770" spans="1:9">
      <c r="A770" t="s">
        <v>858</v>
      </c>
      <c r="B770" s="1" t="str">
        <f>"20513399"</f>
        <v>20513399</v>
      </c>
      <c r="C770" t="s">
        <v>938</v>
      </c>
      <c r="D770" t="s">
        <v>942</v>
      </c>
      <c r="E770" s="2"/>
      <c r="F770"/>
      <c r="G770" t="s">
        <v>940</v>
      </c>
      <c r="H770" t="s">
        <v>940</v>
      </c>
      <c r="I770"/>
    </row>
    <row r="771" spans="1:9">
      <c r="A771" t="s">
        <v>858</v>
      </c>
      <c r="B771" s="1" t="str">
        <f>"20051426"</f>
        <v>20051426</v>
      </c>
      <c r="C771" t="s">
        <v>938</v>
      </c>
      <c r="D771" t="s">
        <v>943</v>
      </c>
      <c r="E771" s="2"/>
      <c r="F771"/>
      <c r="G771"/>
      <c r="H771" t="s">
        <v>897</v>
      </c>
      <c r="I771"/>
    </row>
    <row r="772" spans="1:9">
      <c r="A772" t="s">
        <v>858</v>
      </c>
      <c r="B772" s="1" t="str">
        <f>"20294502"</f>
        <v>20294502</v>
      </c>
      <c r="C772" t="s">
        <v>938</v>
      </c>
      <c r="D772" t="s">
        <v>944</v>
      </c>
      <c r="E772" s="2"/>
      <c r="F772"/>
      <c r="G772" t="s">
        <v>940</v>
      </c>
      <c r="H772" t="s">
        <v>940</v>
      </c>
      <c r="I772"/>
    </row>
    <row r="773" spans="1:9">
      <c r="A773" t="s">
        <v>858</v>
      </c>
      <c r="B773" s="1" t="str">
        <f>"20097158"</f>
        <v>20097158</v>
      </c>
      <c r="C773" t="s">
        <v>938</v>
      </c>
      <c r="D773" t="s">
        <v>945</v>
      </c>
      <c r="E773" s="2"/>
      <c r="F773"/>
      <c r="G773" t="s">
        <v>897</v>
      </c>
      <c r="H773" t="s">
        <v>897</v>
      </c>
      <c r="I773"/>
    </row>
    <row r="774" spans="1:9">
      <c r="A774" t="s">
        <v>858</v>
      </c>
      <c r="B774" s="1" t="str">
        <f>"20295028"</f>
        <v>20295028</v>
      </c>
      <c r="C774" t="s">
        <v>946</v>
      </c>
      <c r="D774" t="s">
        <v>947</v>
      </c>
      <c r="E774" s="2"/>
      <c r="F774" t="s">
        <v>68</v>
      </c>
      <c r="G774" t="s">
        <v>516</v>
      </c>
      <c r="H774" t="s">
        <v>516</v>
      </c>
      <c r="I774"/>
    </row>
    <row r="775" spans="1:9">
      <c r="A775" t="s">
        <v>858</v>
      </c>
      <c r="B775" s="1" t="str">
        <f>"20108595"</f>
        <v>20108595</v>
      </c>
      <c r="C775" t="s">
        <v>948</v>
      </c>
      <c r="D775" t="s">
        <v>949</v>
      </c>
      <c r="E775" s="2"/>
      <c r="F775" t="s">
        <v>22</v>
      </c>
      <c r="G775" t="s">
        <v>82</v>
      </c>
      <c r="H775" t="s">
        <v>82</v>
      </c>
      <c r="I775"/>
    </row>
    <row r="776" spans="1:9">
      <c r="A776" t="s">
        <v>858</v>
      </c>
      <c r="B776" s="1" t="str">
        <f>"20108595.2"</f>
        <v>20108595.2</v>
      </c>
      <c r="C776" t="s">
        <v>948</v>
      </c>
      <c r="D776" t="s">
        <v>949</v>
      </c>
      <c r="E776" s="2"/>
      <c r="F776" t="s">
        <v>22</v>
      </c>
      <c r="G776" t="s">
        <v>82</v>
      </c>
      <c r="H776" t="s">
        <v>218</v>
      </c>
      <c r="I776"/>
    </row>
    <row r="777" spans="1:9">
      <c r="A777" t="s">
        <v>858</v>
      </c>
      <c r="B777" s="1" t="str">
        <f>"20232306"</f>
        <v>20232306</v>
      </c>
      <c r="C777" t="s">
        <v>950</v>
      </c>
      <c r="D777" t="s">
        <v>951</v>
      </c>
      <c r="E777" s="2"/>
      <c r="F777" t="s">
        <v>547</v>
      </c>
      <c r="G777" t="s">
        <v>952</v>
      </c>
      <c r="H777" t="s">
        <v>952</v>
      </c>
      <c r="I777"/>
    </row>
    <row r="778" spans="1:9">
      <c r="A778" t="s">
        <v>858</v>
      </c>
      <c r="B778" s="1" t="str">
        <f>"20082284"</f>
        <v>20082284</v>
      </c>
      <c r="C778" t="s">
        <v>953</v>
      </c>
      <c r="D778" t="s">
        <v>954</v>
      </c>
      <c r="E778" s="2"/>
      <c r="F778" t="s">
        <v>547</v>
      </c>
      <c r="G778" t="s">
        <v>616</v>
      </c>
      <c r="H778" t="s">
        <v>616</v>
      </c>
      <c r="I778"/>
    </row>
    <row r="779" spans="1:9">
      <c r="A779" t="s">
        <v>858</v>
      </c>
      <c r="B779" s="1" t="str">
        <f>"20250768"</f>
        <v>20250768</v>
      </c>
      <c r="C779" t="s">
        <v>953</v>
      </c>
      <c r="D779" t="s">
        <v>955</v>
      </c>
      <c r="E779" s="2"/>
      <c r="F779" t="s">
        <v>547</v>
      </c>
      <c r="G779" t="s">
        <v>616</v>
      </c>
      <c r="H779" t="s">
        <v>616</v>
      </c>
      <c r="I779"/>
    </row>
    <row r="780" spans="1:9">
      <c r="A780" t="s">
        <v>858</v>
      </c>
      <c r="B780" s="1" t="str">
        <f>"20052881"</f>
        <v>20052881</v>
      </c>
      <c r="C780" t="s">
        <v>953</v>
      </c>
      <c r="D780" t="s">
        <v>956</v>
      </c>
      <c r="E780" s="2"/>
      <c r="F780" t="s">
        <v>547</v>
      </c>
      <c r="G780" t="s">
        <v>620</v>
      </c>
      <c r="H780" t="s">
        <v>620</v>
      </c>
      <c r="I780"/>
    </row>
    <row r="781" spans="1:9">
      <c r="A781" t="s">
        <v>858</v>
      </c>
      <c r="B781" s="1" t="str">
        <f>"20073534"</f>
        <v>20073534</v>
      </c>
      <c r="C781" t="s">
        <v>953</v>
      </c>
      <c r="D781" t="s">
        <v>957</v>
      </c>
      <c r="E781" s="2"/>
      <c r="F781" t="s">
        <v>547</v>
      </c>
      <c r="G781" t="s">
        <v>616</v>
      </c>
      <c r="H781" t="s">
        <v>616</v>
      </c>
      <c r="I781"/>
    </row>
    <row r="782" spans="1:9">
      <c r="A782" t="s">
        <v>858</v>
      </c>
      <c r="B782" s="1" t="str">
        <f>"20828240"</f>
        <v>20828240</v>
      </c>
      <c r="C782" t="s">
        <v>830</v>
      </c>
      <c r="D782" t="s">
        <v>958</v>
      </c>
      <c r="E782" s="2"/>
      <c r="F782" t="s">
        <v>959</v>
      </c>
      <c r="G782" t="s">
        <v>695</v>
      </c>
      <c r="H782" t="s">
        <v>695</v>
      </c>
      <c r="I782"/>
    </row>
    <row r="783" spans="1:9">
      <c r="A783" t="s">
        <v>858</v>
      </c>
      <c r="B783" s="1" t="str">
        <f>"20828240.2"</f>
        <v>20828240.2</v>
      </c>
      <c r="C783" t="s">
        <v>830</v>
      </c>
      <c r="D783" t="s">
        <v>958</v>
      </c>
      <c r="E783" s="2"/>
      <c r="F783" t="s">
        <v>959</v>
      </c>
      <c r="G783" t="s">
        <v>695</v>
      </c>
      <c r="H783" t="s">
        <v>517</v>
      </c>
      <c r="I783"/>
    </row>
    <row r="784" spans="1:9">
      <c r="A784" t="s">
        <v>858</v>
      </c>
      <c r="B784" s="1" t="str">
        <f>"20739980"</f>
        <v>20739980</v>
      </c>
      <c r="C784" t="s">
        <v>830</v>
      </c>
      <c r="D784" t="s">
        <v>960</v>
      </c>
      <c r="E784" s="2"/>
      <c r="F784" t="s">
        <v>961</v>
      </c>
      <c r="G784" t="s">
        <v>695</v>
      </c>
      <c r="H784" t="s">
        <v>695</v>
      </c>
      <c r="I784"/>
    </row>
    <row r="785" spans="1:9">
      <c r="A785" t="s">
        <v>858</v>
      </c>
      <c r="B785" s="1" t="str">
        <f>"20739980.2"</f>
        <v>20739980.2</v>
      </c>
      <c r="C785" t="s">
        <v>830</v>
      </c>
      <c r="D785" t="s">
        <v>960</v>
      </c>
      <c r="E785" s="2"/>
      <c r="F785" t="s">
        <v>961</v>
      </c>
      <c r="G785" t="s">
        <v>695</v>
      </c>
      <c r="H785" t="s">
        <v>517</v>
      </c>
      <c r="I785"/>
    </row>
    <row r="786" spans="1:9">
      <c r="A786" t="s">
        <v>858</v>
      </c>
      <c r="B786" s="1" t="str">
        <f>"21299612"</f>
        <v>21299612</v>
      </c>
      <c r="C786" t="s">
        <v>830</v>
      </c>
      <c r="D786" t="s">
        <v>962</v>
      </c>
      <c r="E786" s="2"/>
      <c r="F786" t="s">
        <v>963</v>
      </c>
      <c r="G786" t="s">
        <v>616</v>
      </c>
      <c r="H786" t="s">
        <v>616</v>
      </c>
      <c r="I786"/>
    </row>
    <row r="787" spans="1:9">
      <c r="A787" t="s">
        <v>858</v>
      </c>
      <c r="B787" s="1" t="str">
        <f>"21299612.2"</f>
        <v>21299612.2</v>
      </c>
      <c r="C787" t="s">
        <v>830</v>
      </c>
      <c r="D787" t="s">
        <v>962</v>
      </c>
      <c r="E787" s="2"/>
      <c r="F787" t="s">
        <v>963</v>
      </c>
      <c r="G787" t="s">
        <v>616</v>
      </c>
      <c r="H787" t="s">
        <v>517</v>
      </c>
      <c r="I787"/>
    </row>
    <row r="788" spans="1:9">
      <c r="A788" t="s">
        <v>858</v>
      </c>
      <c r="B788" s="1" t="str">
        <f>"20214067"</f>
        <v>20214067</v>
      </c>
      <c r="C788" t="s">
        <v>830</v>
      </c>
      <c r="D788" t="s">
        <v>964</v>
      </c>
      <c r="E788" s="2"/>
      <c r="F788" t="s">
        <v>965</v>
      </c>
      <c r="G788" t="s">
        <v>614</v>
      </c>
      <c r="H788" t="s">
        <v>516</v>
      </c>
      <c r="I788"/>
    </row>
    <row r="789" spans="1:9">
      <c r="A789" t="s">
        <v>858</v>
      </c>
      <c r="B789" s="1" t="str">
        <f>"20214067.2"</f>
        <v>20214067.2</v>
      </c>
      <c r="C789" t="s">
        <v>830</v>
      </c>
      <c r="D789" t="s">
        <v>964</v>
      </c>
      <c r="E789" s="2"/>
      <c r="F789" t="s">
        <v>965</v>
      </c>
      <c r="G789" t="s">
        <v>614</v>
      </c>
      <c r="H789" t="s">
        <v>517</v>
      </c>
      <c r="I789"/>
    </row>
    <row r="790" spans="1:9">
      <c r="A790" t="s">
        <v>858</v>
      </c>
      <c r="B790" s="1" t="str">
        <f>"23998830"</f>
        <v>23998830</v>
      </c>
      <c r="C790" t="s">
        <v>830</v>
      </c>
      <c r="D790" t="s">
        <v>966</v>
      </c>
      <c r="E790" s="2"/>
      <c r="F790" t="s">
        <v>967</v>
      </c>
      <c r="G790" t="s">
        <v>616</v>
      </c>
      <c r="H790" t="s">
        <v>616</v>
      </c>
      <c r="I790"/>
    </row>
    <row r="791" spans="1:9">
      <c r="A791" t="s">
        <v>858</v>
      </c>
      <c r="B791" s="1" t="str">
        <f>"23998830.2"</f>
        <v>23998830.2</v>
      </c>
      <c r="C791" t="s">
        <v>830</v>
      </c>
      <c r="D791" t="s">
        <v>966</v>
      </c>
      <c r="E791" s="2"/>
      <c r="F791" t="s">
        <v>967</v>
      </c>
      <c r="G791" t="s">
        <v>695</v>
      </c>
      <c r="H791" t="s">
        <v>517</v>
      </c>
      <c r="I791"/>
    </row>
    <row r="792" spans="1:9">
      <c r="A792" t="s">
        <v>858</v>
      </c>
      <c r="B792" s="1" t="str">
        <f>"20190054"</f>
        <v>20190054</v>
      </c>
      <c r="C792" t="s">
        <v>968</v>
      </c>
      <c r="D792" t="s">
        <v>969</v>
      </c>
      <c r="E792" s="2"/>
      <c r="F792" t="s">
        <v>68</v>
      </c>
      <c r="G792" t="s">
        <v>616</v>
      </c>
      <c r="H792" t="s">
        <v>616</v>
      </c>
      <c r="I792"/>
    </row>
    <row r="793" spans="1:9">
      <c r="A793" t="s">
        <v>858</v>
      </c>
      <c r="B793" s="1" t="str">
        <f>"20190054.2"</f>
        <v>20190054.2</v>
      </c>
      <c r="C793" t="s">
        <v>968</v>
      </c>
      <c r="D793" t="s">
        <v>969</v>
      </c>
      <c r="E793" s="2"/>
      <c r="F793" t="s">
        <v>68</v>
      </c>
      <c r="G793" t="s">
        <v>616</v>
      </c>
      <c r="H793" t="s">
        <v>517</v>
      </c>
      <c r="I793"/>
    </row>
    <row r="794" spans="1:9">
      <c r="A794" t="s">
        <v>858</v>
      </c>
      <c r="B794" s="1" t="str">
        <f>"20190053"</f>
        <v>20190053</v>
      </c>
      <c r="C794" t="s">
        <v>968</v>
      </c>
      <c r="D794" t="s">
        <v>970</v>
      </c>
      <c r="E794" s="2"/>
      <c r="F794" t="s">
        <v>68</v>
      </c>
      <c r="G794" t="s">
        <v>616</v>
      </c>
      <c r="H794" t="s">
        <v>616</v>
      </c>
      <c r="I794"/>
    </row>
    <row r="795" spans="1:9">
      <c r="A795" t="s">
        <v>858</v>
      </c>
      <c r="B795" s="1" t="str">
        <f>"20190053.2"</f>
        <v>20190053.2</v>
      </c>
      <c r="C795" t="s">
        <v>968</v>
      </c>
      <c r="D795" t="s">
        <v>970</v>
      </c>
      <c r="E795" s="2"/>
      <c r="F795" t="s">
        <v>68</v>
      </c>
      <c r="G795" t="s">
        <v>616</v>
      </c>
      <c r="H795" t="s">
        <v>517</v>
      </c>
      <c r="I795"/>
    </row>
    <row r="796" spans="1:9">
      <c r="A796" t="s">
        <v>858</v>
      </c>
      <c r="B796" s="1" t="str">
        <f>"20190052.2"</f>
        <v>20190052.2</v>
      </c>
      <c r="C796" t="s">
        <v>968</v>
      </c>
      <c r="D796" t="s">
        <v>971</v>
      </c>
      <c r="E796" s="2"/>
      <c r="F796" t="s">
        <v>68</v>
      </c>
      <c r="G796" t="s">
        <v>616</v>
      </c>
      <c r="H796" t="s">
        <v>517</v>
      </c>
      <c r="I796"/>
    </row>
    <row r="797" spans="1:9">
      <c r="A797" t="s">
        <v>858</v>
      </c>
      <c r="B797" s="1" t="str">
        <f>"20512880"</f>
        <v>20512880</v>
      </c>
      <c r="C797" t="s">
        <v>972</v>
      </c>
      <c r="D797" t="s">
        <v>973</v>
      </c>
      <c r="E797" s="2"/>
      <c r="F797"/>
      <c r="G797" t="s">
        <v>177</v>
      </c>
      <c r="H797" t="s">
        <v>177</v>
      </c>
      <c r="I797"/>
    </row>
    <row r="798" spans="1:9">
      <c r="A798" t="s">
        <v>858</v>
      </c>
      <c r="B798" s="1" t="str">
        <f>"20095468"</f>
        <v>20095468</v>
      </c>
      <c r="C798" t="s">
        <v>972</v>
      </c>
      <c r="D798" t="s">
        <v>974</v>
      </c>
      <c r="E798" s="2"/>
      <c r="F798" t="s">
        <v>48</v>
      </c>
      <c r="G798" t="s">
        <v>177</v>
      </c>
      <c r="H798" t="s">
        <v>177</v>
      </c>
      <c r="I798"/>
    </row>
    <row r="799" spans="1:9">
      <c r="A799" t="s">
        <v>858</v>
      </c>
      <c r="B799" s="1" t="str">
        <f>"20098247"</f>
        <v>20098247</v>
      </c>
      <c r="C799" t="s">
        <v>855</v>
      </c>
      <c r="D799" t="s">
        <v>975</v>
      </c>
      <c r="E799" s="2"/>
      <c r="F799" t="s">
        <v>857</v>
      </c>
      <c r="G799" t="s">
        <v>516</v>
      </c>
      <c r="H799" t="s">
        <v>516</v>
      </c>
      <c r="I799"/>
    </row>
    <row r="800" spans="1:9">
      <c r="A800" t="s">
        <v>976</v>
      </c>
      <c r="B800" s="1" t="str">
        <f>"12513234"</f>
        <v>12513234</v>
      </c>
      <c r="C800" t="s">
        <v>260</v>
      </c>
      <c r="D800" t="s">
        <v>977</v>
      </c>
      <c r="E800" s="2"/>
      <c r="F800" t="s">
        <v>52</v>
      </c>
      <c r="G800" t="s">
        <v>978</v>
      </c>
      <c r="H800" t="s">
        <v>52</v>
      </c>
      <c r="I800"/>
    </row>
    <row r="801" spans="1:9">
      <c r="A801" t="s">
        <v>976</v>
      </c>
      <c r="B801" s="1" t="str">
        <f>"12008057"</f>
        <v>12008057</v>
      </c>
      <c r="C801" t="s">
        <v>260</v>
      </c>
      <c r="D801" t="s">
        <v>979</v>
      </c>
      <c r="E801" s="2"/>
      <c r="F801" t="s">
        <v>52</v>
      </c>
      <c r="G801" t="s">
        <v>517</v>
      </c>
      <c r="H801" t="s">
        <v>517</v>
      </c>
      <c r="I801"/>
    </row>
    <row r="802" spans="1:9">
      <c r="A802" t="s">
        <v>976</v>
      </c>
      <c r="B802" s="1" t="str">
        <f>"20040161"</f>
        <v>20040161</v>
      </c>
      <c r="C802" t="s">
        <v>980</v>
      </c>
      <c r="D802" t="s">
        <v>981</v>
      </c>
      <c r="E802" s="2"/>
      <c r="F802" t="s">
        <v>90</v>
      </c>
      <c r="G802" t="s">
        <v>243</v>
      </c>
      <c r="H802" t="s">
        <v>982</v>
      </c>
      <c r="I802"/>
    </row>
    <row r="803" spans="1:9">
      <c r="A803" t="s">
        <v>976</v>
      </c>
      <c r="B803" s="1" t="str">
        <f>"20040208.2"</f>
        <v>20040208.2</v>
      </c>
      <c r="C803" t="s">
        <v>980</v>
      </c>
      <c r="D803" t="s">
        <v>983</v>
      </c>
      <c r="E803" s="2"/>
      <c r="F803" t="s">
        <v>90</v>
      </c>
      <c r="G803" t="s">
        <v>243</v>
      </c>
      <c r="H803" t="s">
        <v>218</v>
      </c>
      <c r="I803"/>
    </row>
    <row r="804" spans="1:9">
      <c r="A804" t="s">
        <v>976</v>
      </c>
      <c r="B804" s="1" t="str">
        <f>"20200930"</f>
        <v>20200930</v>
      </c>
      <c r="C804" t="s">
        <v>984</v>
      </c>
      <c r="D804" t="s">
        <v>985</v>
      </c>
      <c r="E804" s="2"/>
      <c r="F804" t="s">
        <v>22</v>
      </c>
      <c r="G804" t="s">
        <v>322</v>
      </c>
      <c r="H804" t="s">
        <v>322</v>
      </c>
      <c r="I804"/>
    </row>
    <row r="805" spans="1:9">
      <c r="A805" t="s">
        <v>976</v>
      </c>
      <c r="B805" s="1" t="str">
        <f>"20071646"</f>
        <v>20071646</v>
      </c>
      <c r="C805" t="s">
        <v>984</v>
      </c>
      <c r="D805" t="s">
        <v>986</v>
      </c>
      <c r="E805" s="2"/>
      <c r="F805" t="s">
        <v>22</v>
      </c>
      <c r="G805" t="s">
        <v>322</v>
      </c>
      <c r="H805" t="s">
        <v>322</v>
      </c>
      <c r="I805"/>
    </row>
    <row r="806" spans="1:9">
      <c r="A806" t="s">
        <v>976</v>
      </c>
      <c r="B806" s="1" t="str">
        <f>"20669232"</f>
        <v>20669232</v>
      </c>
      <c r="C806" t="s">
        <v>209</v>
      </c>
      <c r="D806" t="s">
        <v>987</v>
      </c>
      <c r="E806" s="2"/>
      <c r="F806" t="s">
        <v>68</v>
      </c>
      <c r="G806" t="s">
        <v>988</v>
      </c>
      <c r="H806" t="s">
        <v>988</v>
      </c>
      <c r="I806"/>
    </row>
    <row r="807" spans="1:9">
      <c r="A807" t="s">
        <v>976</v>
      </c>
      <c r="B807" s="1" t="str">
        <f>"20806543"</f>
        <v>20806543</v>
      </c>
      <c r="C807" t="s">
        <v>989</v>
      </c>
      <c r="D807" t="s">
        <v>119</v>
      </c>
      <c r="E807" s="2"/>
      <c r="F807" t="s">
        <v>105</v>
      </c>
      <c r="G807" t="s">
        <v>156</v>
      </c>
      <c r="H807" t="s">
        <v>122</v>
      </c>
      <c r="I807"/>
    </row>
    <row r="808" spans="1:9">
      <c r="A808" t="s">
        <v>976</v>
      </c>
      <c r="B808" s="1" t="str">
        <f>"20361984"</f>
        <v>20361984</v>
      </c>
      <c r="C808" t="s">
        <v>225</v>
      </c>
      <c r="D808" t="s">
        <v>990</v>
      </c>
      <c r="E808" s="2"/>
      <c r="F808" t="s">
        <v>22</v>
      </c>
      <c r="G808" t="s">
        <v>82</v>
      </c>
      <c r="H808" t="s">
        <v>82</v>
      </c>
      <c r="I808"/>
    </row>
    <row r="809" spans="1:9">
      <c r="A809" t="s">
        <v>976</v>
      </c>
      <c r="B809" s="1" t="str">
        <f>"12008055"</f>
        <v>12008055</v>
      </c>
      <c r="C809" t="s">
        <v>991</v>
      </c>
      <c r="D809" t="s">
        <v>992</v>
      </c>
      <c r="E809" s="2"/>
      <c r="F809" t="s">
        <v>22</v>
      </c>
      <c r="G809" t="s">
        <v>175</v>
      </c>
      <c r="H809" t="s">
        <v>517</v>
      </c>
      <c r="I809"/>
    </row>
    <row r="810" spans="1:9">
      <c r="A810" t="s">
        <v>976</v>
      </c>
      <c r="B810" s="1" t="str">
        <f>"20130510"</f>
        <v>20130510</v>
      </c>
      <c r="C810" t="s">
        <v>993</v>
      </c>
      <c r="D810" t="s">
        <v>994</v>
      </c>
      <c r="E810" s="2"/>
      <c r="F810" t="s">
        <v>68</v>
      </c>
      <c r="G810" t="s">
        <v>232</v>
      </c>
      <c r="H810" t="s">
        <v>232</v>
      </c>
      <c r="I810"/>
    </row>
    <row r="811" spans="1:9">
      <c r="A811" t="s">
        <v>976</v>
      </c>
      <c r="B811" s="1" t="str">
        <f>"20130510.2"</f>
        <v>20130510.2</v>
      </c>
      <c r="C811" t="s">
        <v>993</v>
      </c>
      <c r="D811" t="s">
        <v>994</v>
      </c>
      <c r="E811" s="2"/>
      <c r="F811" t="s">
        <v>68</v>
      </c>
      <c r="G811" t="s">
        <v>232</v>
      </c>
      <c r="H811" t="s">
        <v>218</v>
      </c>
      <c r="I811"/>
    </row>
    <row r="812" spans="1:9">
      <c r="A812" t="s">
        <v>976</v>
      </c>
      <c r="B812" s="1" t="str">
        <f>"12532941"</f>
        <v>12532941</v>
      </c>
      <c r="C812" t="s">
        <v>995</v>
      </c>
      <c r="D812" t="s">
        <v>996</v>
      </c>
      <c r="E812" s="2"/>
      <c r="F812" t="s">
        <v>52</v>
      </c>
      <c r="G812" t="s">
        <v>997</v>
      </c>
      <c r="H812" t="s">
        <v>517</v>
      </c>
      <c r="I812"/>
    </row>
    <row r="813" spans="1:9">
      <c r="A813" t="s">
        <v>976</v>
      </c>
      <c r="B813" s="1" t="str">
        <f>"20061104"</f>
        <v>20061104</v>
      </c>
      <c r="C813" t="s">
        <v>948</v>
      </c>
      <c r="D813" t="s">
        <v>998</v>
      </c>
      <c r="E813" s="2"/>
      <c r="F813" t="s">
        <v>22</v>
      </c>
      <c r="G813" t="s">
        <v>58</v>
      </c>
      <c r="H813" t="s">
        <v>58</v>
      </c>
      <c r="I813"/>
    </row>
    <row r="814" spans="1:9">
      <c r="A814" t="s">
        <v>976</v>
      </c>
      <c r="B814" s="1" t="str">
        <f>"20061272"</f>
        <v>20061272</v>
      </c>
      <c r="C814" t="s">
        <v>948</v>
      </c>
      <c r="D814" t="s">
        <v>999</v>
      </c>
      <c r="E814" s="2"/>
      <c r="F814" t="s">
        <v>22</v>
      </c>
      <c r="G814" t="s">
        <v>58</v>
      </c>
      <c r="H814" t="s">
        <v>58</v>
      </c>
      <c r="I814"/>
    </row>
    <row r="815" spans="1:9">
      <c r="A815" t="s">
        <v>976</v>
      </c>
      <c r="B815" s="1" t="str">
        <f>"12003359"</f>
        <v>12003359</v>
      </c>
      <c r="C815" t="s">
        <v>948</v>
      </c>
      <c r="D815" t="s">
        <v>1000</v>
      </c>
      <c r="E815" s="2"/>
      <c r="F815" t="s">
        <v>978</v>
      </c>
      <c r="G815" t="s">
        <v>517</v>
      </c>
      <c r="H815" t="s">
        <v>517</v>
      </c>
      <c r="I815"/>
    </row>
    <row r="816" spans="1:9">
      <c r="A816" t="s">
        <v>976</v>
      </c>
      <c r="B816" s="1" t="str">
        <f>"20061258"</f>
        <v>20061258</v>
      </c>
      <c r="C816" t="s">
        <v>948</v>
      </c>
      <c r="D816" t="s">
        <v>1001</v>
      </c>
      <c r="E816" s="2"/>
      <c r="F816" t="s">
        <v>22</v>
      </c>
      <c r="G816" t="s">
        <v>322</v>
      </c>
      <c r="H816" t="s">
        <v>322</v>
      </c>
      <c r="I816"/>
    </row>
    <row r="817" spans="1:9">
      <c r="A817" t="s">
        <v>976</v>
      </c>
      <c r="B817" s="1" t="str">
        <f>"23267499"</f>
        <v>23267499</v>
      </c>
      <c r="C817" t="s">
        <v>948</v>
      </c>
      <c r="D817" t="s">
        <v>1002</v>
      </c>
      <c r="E817" s="2"/>
      <c r="F817" t="s">
        <v>22</v>
      </c>
      <c r="G817" t="s">
        <v>58</v>
      </c>
      <c r="H817" t="s">
        <v>58</v>
      </c>
      <c r="I817"/>
    </row>
    <row r="818" spans="1:9">
      <c r="A818" t="s">
        <v>976</v>
      </c>
      <c r="B818" s="1" t="str">
        <f>"20040208"</f>
        <v>20040208</v>
      </c>
      <c r="C818" t="s">
        <v>948</v>
      </c>
      <c r="D818" t="s">
        <v>1003</v>
      </c>
      <c r="E818" s="2"/>
      <c r="F818" t="s">
        <v>90</v>
      </c>
      <c r="G818" t="s">
        <v>82</v>
      </c>
      <c r="H818" t="s">
        <v>82</v>
      </c>
      <c r="I818"/>
    </row>
    <row r="819" spans="1:9">
      <c r="A819" t="s">
        <v>976</v>
      </c>
      <c r="B819" s="1" t="str">
        <f>"20200893"</f>
        <v>20200893</v>
      </c>
      <c r="C819" t="s">
        <v>948</v>
      </c>
      <c r="D819" t="s">
        <v>1004</v>
      </c>
      <c r="E819" s="2"/>
      <c r="F819" t="s">
        <v>90</v>
      </c>
      <c r="G819" t="s">
        <v>82</v>
      </c>
      <c r="H819" t="s">
        <v>82</v>
      </c>
      <c r="I819"/>
    </row>
    <row r="820" spans="1:9">
      <c r="A820" t="s">
        <v>976</v>
      </c>
      <c r="B820" s="1" t="str">
        <f>"20200893.2"</f>
        <v>20200893.2</v>
      </c>
      <c r="C820" t="s">
        <v>948</v>
      </c>
      <c r="D820" t="s">
        <v>1004</v>
      </c>
      <c r="E820" s="2"/>
      <c r="F820" t="s">
        <v>90</v>
      </c>
      <c r="G820" t="s">
        <v>82</v>
      </c>
      <c r="H820" t="s">
        <v>218</v>
      </c>
      <c r="I820"/>
    </row>
    <row r="821" spans="1:9">
      <c r="A821" t="s">
        <v>976</v>
      </c>
      <c r="B821" s="1" t="str">
        <f>"24000013"</f>
        <v>24000013</v>
      </c>
      <c r="C821" t="s">
        <v>948</v>
      </c>
      <c r="D821" t="s">
        <v>1005</v>
      </c>
      <c r="E821" s="2"/>
      <c r="F821" t="s">
        <v>90</v>
      </c>
      <c r="G821" t="s">
        <v>148</v>
      </c>
      <c r="H821" t="s">
        <v>148</v>
      </c>
      <c r="I821"/>
    </row>
    <row r="822" spans="1:9">
      <c r="A822" t="s">
        <v>976</v>
      </c>
      <c r="B822" s="1" t="str">
        <f>"24000013.2"</f>
        <v>24000013.2</v>
      </c>
      <c r="C822" t="s">
        <v>948</v>
      </c>
      <c r="D822" t="s">
        <v>1005</v>
      </c>
      <c r="E822" s="2"/>
      <c r="F822" t="s">
        <v>90</v>
      </c>
      <c r="G822" t="s">
        <v>148</v>
      </c>
      <c r="H822" t="s">
        <v>218</v>
      </c>
      <c r="I822"/>
    </row>
    <row r="823" spans="1:9">
      <c r="A823" t="s">
        <v>976</v>
      </c>
      <c r="B823" s="1" t="str">
        <f>"12003377"</f>
        <v>12003377</v>
      </c>
      <c r="C823" t="s">
        <v>948</v>
      </c>
      <c r="D823" t="s">
        <v>1006</v>
      </c>
      <c r="E823" s="2"/>
      <c r="F823" t="s">
        <v>1007</v>
      </c>
      <c r="G823" t="s">
        <v>517</v>
      </c>
      <c r="H823" t="s">
        <v>517</v>
      </c>
      <c r="I823"/>
    </row>
    <row r="824" spans="1:9">
      <c r="A824" t="s">
        <v>976</v>
      </c>
      <c r="B824" s="1" t="str">
        <f>"12006146"</f>
        <v>12006146</v>
      </c>
      <c r="C824" t="s">
        <v>948</v>
      </c>
      <c r="D824" t="s">
        <v>1008</v>
      </c>
      <c r="E824" s="2"/>
      <c r="F824" t="s">
        <v>52</v>
      </c>
      <c r="G824" t="s">
        <v>571</v>
      </c>
      <c r="H824" t="s">
        <v>517</v>
      </c>
      <c r="I824"/>
    </row>
    <row r="825" spans="1:9">
      <c r="A825" t="s">
        <v>976</v>
      </c>
      <c r="B825" s="1" t="str">
        <f>"12003376"</f>
        <v>12003376</v>
      </c>
      <c r="C825" t="s">
        <v>948</v>
      </c>
      <c r="D825" t="s">
        <v>1009</v>
      </c>
      <c r="E825" s="2"/>
      <c r="F825" t="s">
        <v>978</v>
      </c>
      <c r="G825" t="s">
        <v>517</v>
      </c>
      <c r="H825" t="s">
        <v>517</v>
      </c>
      <c r="I825"/>
    </row>
    <row r="826" spans="1:9">
      <c r="A826" t="s">
        <v>976</v>
      </c>
      <c r="B826" s="1" t="str">
        <f>"20061302"</f>
        <v>20061302</v>
      </c>
      <c r="C826" t="s">
        <v>948</v>
      </c>
      <c r="D826" t="s">
        <v>1010</v>
      </c>
      <c r="E826" s="2"/>
      <c r="F826" t="s">
        <v>22</v>
      </c>
      <c r="G826" t="s">
        <v>58</v>
      </c>
      <c r="H826" t="s">
        <v>58</v>
      </c>
      <c r="I826"/>
    </row>
    <row r="827" spans="1:9">
      <c r="A827" t="s">
        <v>976</v>
      </c>
      <c r="B827" s="1" t="str">
        <f>"20295356"</f>
        <v>20295356</v>
      </c>
      <c r="C827" t="s">
        <v>1011</v>
      </c>
      <c r="D827" t="s">
        <v>134</v>
      </c>
      <c r="E827" s="2"/>
      <c r="F827" t="s">
        <v>90</v>
      </c>
      <c r="G827" t="s">
        <v>982</v>
      </c>
      <c r="H827" t="s">
        <v>982</v>
      </c>
      <c r="I827"/>
    </row>
    <row r="828" spans="1:9">
      <c r="A828" t="s">
        <v>976</v>
      </c>
      <c r="B828" s="1" t="str">
        <f>"20295356.2"</f>
        <v>20295356.2</v>
      </c>
      <c r="C828" t="s">
        <v>1011</v>
      </c>
      <c r="D828" t="s">
        <v>134</v>
      </c>
      <c r="E828" s="2"/>
      <c r="F828" t="s">
        <v>90</v>
      </c>
      <c r="G828" t="s">
        <v>982</v>
      </c>
      <c r="H828" t="s">
        <v>218</v>
      </c>
      <c r="I828"/>
    </row>
    <row r="829" spans="1:9">
      <c r="A829" t="s">
        <v>976</v>
      </c>
      <c r="B829" s="1" t="str">
        <f>"20295363"</f>
        <v>20295363</v>
      </c>
      <c r="C829" t="s">
        <v>1011</v>
      </c>
      <c r="D829" t="s">
        <v>1012</v>
      </c>
      <c r="E829" s="2"/>
      <c r="F829" t="s">
        <v>68</v>
      </c>
      <c r="G829" t="s">
        <v>982</v>
      </c>
      <c r="H829" t="s">
        <v>982</v>
      </c>
      <c r="I829"/>
    </row>
    <row r="830" spans="1:9">
      <c r="A830" t="s">
        <v>976</v>
      </c>
      <c r="B830" s="1" t="str">
        <f>"20295363.2"</f>
        <v>20295363.2</v>
      </c>
      <c r="C830" t="s">
        <v>1011</v>
      </c>
      <c r="D830" t="s">
        <v>1012</v>
      </c>
      <c r="E830" s="2"/>
      <c r="F830" t="s">
        <v>68</v>
      </c>
      <c r="G830" t="s">
        <v>982</v>
      </c>
      <c r="H830" t="s">
        <v>218</v>
      </c>
      <c r="I830"/>
    </row>
    <row r="831" spans="1:9">
      <c r="A831" t="s">
        <v>976</v>
      </c>
      <c r="B831" s="1" t="str">
        <f>"20684259"</f>
        <v>20684259</v>
      </c>
      <c r="C831" t="s">
        <v>654</v>
      </c>
      <c r="D831" t="s">
        <v>1013</v>
      </c>
      <c r="E831" s="2"/>
      <c r="F831" t="s">
        <v>79</v>
      </c>
      <c r="G831" t="s">
        <v>988</v>
      </c>
      <c r="H831" t="s">
        <v>988</v>
      </c>
      <c r="I831"/>
    </row>
    <row r="832" spans="1:9">
      <c r="A832" t="s">
        <v>976</v>
      </c>
      <c r="B832" s="1" t="str">
        <f>"20684259.2"</f>
        <v>20684259.2</v>
      </c>
      <c r="C832" t="s">
        <v>654</v>
      </c>
      <c r="D832" t="s">
        <v>1013</v>
      </c>
      <c r="E832" s="2"/>
      <c r="F832" t="s">
        <v>79</v>
      </c>
      <c r="G832" t="s">
        <v>988</v>
      </c>
      <c r="H832" t="s">
        <v>517</v>
      </c>
      <c r="I832"/>
    </row>
    <row r="833" spans="1:9">
      <c r="A833" t="s">
        <v>976</v>
      </c>
      <c r="B833" s="1" t="str">
        <f>"23008201"</f>
        <v>23008201</v>
      </c>
      <c r="C833" t="s">
        <v>654</v>
      </c>
      <c r="D833" t="s">
        <v>1014</v>
      </c>
      <c r="E833" s="2"/>
      <c r="F833" t="s">
        <v>783</v>
      </c>
      <c r="G833" t="s">
        <v>227</v>
      </c>
      <c r="H833" t="s">
        <v>227</v>
      </c>
      <c r="I833"/>
    </row>
    <row r="834" spans="1:9">
      <c r="A834" t="s">
        <v>976</v>
      </c>
      <c r="B834" s="1" t="str">
        <f>"20685362"</f>
        <v>20685362</v>
      </c>
      <c r="C834" t="s">
        <v>654</v>
      </c>
      <c r="D834" t="s">
        <v>1015</v>
      </c>
      <c r="E834" s="2"/>
      <c r="F834" t="s">
        <v>681</v>
      </c>
      <c r="G834" t="s">
        <v>516</v>
      </c>
      <c r="H834" t="s">
        <v>516</v>
      </c>
      <c r="I834"/>
    </row>
    <row r="835" spans="1:9">
      <c r="A835" t="s">
        <v>976</v>
      </c>
      <c r="B835" s="1" t="str">
        <f>"20685362.2"</f>
        <v>20685362.2</v>
      </c>
      <c r="C835" t="s">
        <v>654</v>
      </c>
      <c r="D835" t="s">
        <v>1015</v>
      </c>
      <c r="E835" s="2"/>
      <c r="F835" t="s">
        <v>681</v>
      </c>
      <c r="G835" t="s">
        <v>516</v>
      </c>
      <c r="H835" t="s">
        <v>517</v>
      </c>
      <c r="I835"/>
    </row>
    <row r="836" spans="1:9">
      <c r="A836" t="s">
        <v>976</v>
      </c>
      <c r="B836" s="1" t="str">
        <f>"20685508"</f>
        <v>20685508</v>
      </c>
      <c r="C836" t="s">
        <v>654</v>
      </c>
      <c r="D836" t="s">
        <v>1016</v>
      </c>
      <c r="E836" s="2"/>
      <c r="F836" t="s">
        <v>68</v>
      </c>
      <c r="G836" t="s">
        <v>988</v>
      </c>
      <c r="H836" t="s">
        <v>988</v>
      </c>
      <c r="I836"/>
    </row>
    <row r="837" spans="1:9">
      <c r="A837" t="s">
        <v>1017</v>
      </c>
      <c r="B837" s="1" t="str">
        <f>"20032555"</f>
        <v>20032555</v>
      </c>
      <c r="C837" t="s">
        <v>260</v>
      </c>
      <c r="D837" t="s">
        <v>1018</v>
      </c>
      <c r="E837" s="2"/>
      <c r="F837" t="s">
        <v>90</v>
      </c>
      <c r="G837" t="s">
        <v>614</v>
      </c>
      <c r="H837" t="s">
        <v>614</v>
      </c>
      <c r="I837"/>
    </row>
    <row r="838" spans="1:9">
      <c r="A838" t="s">
        <v>1017</v>
      </c>
      <c r="B838" s="1" t="str">
        <f>"20032555.2"</f>
        <v>20032555.2</v>
      </c>
      <c r="C838" t="s">
        <v>260</v>
      </c>
      <c r="D838" t="s">
        <v>1018</v>
      </c>
      <c r="E838" s="2"/>
      <c r="F838" t="s">
        <v>90</v>
      </c>
      <c r="G838" t="s">
        <v>614</v>
      </c>
      <c r="H838" t="s">
        <v>517</v>
      </c>
      <c r="I838"/>
    </row>
    <row r="839" spans="1:9">
      <c r="A839" t="s">
        <v>1017</v>
      </c>
      <c r="B839" s="1" t="str">
        <f>"20068516"</f>
        <v>20068516</v>
      </c>
      <c r="C839" t="s">
        <v>209</v>
      </c>
      <c r="D839" t="s">
        <v>1019</v>
      </c>
      <c r="E839" s="2"/>
      <c r="F839" t="s">
        <v>68</v>
      </c>
      <c r="G839" t="s">
        <v>571</v>
      </c>
      <c r="H839" t="s">
        <v>571</v>
      </c>
      <c r="I839"/>
    </row>
    <row r="840" spans="1:9">
      <c r="A840" t="s">
        <v>1017</v>
      </c>
      <c r="B840" s="1" t="str">
        <f>"20068547"</f>
        <v>20068547</v>
      </c>
      <c r="C840" t="s">
        <v>209</v>
      </c>
      <c r="D840" t="s">
        <v>1020</v>
      </c>
      <c r="E840" s="2"/>
      <c r="F840" t="s">
        <v>90</v>
      </c>
      <c r="G840" t="s">
        <v>262</v>
      </c>
      <c r="H840" t="s">
        <v>262</v>
      </c>
      <c r="I840"/>
    </row>
    <row r="841" spans="1:9">
      <c r="A841" t="s">
        <v>1017</v>
      </c>
      <c r="B841" s="1" t="str">
        <f>"20093327"</f>
        <v>20093327</v>
      </c>
      <c r="C841" t="s">
        <v>225</v>
      </c>
      <c r="D841" t="s">
        <v>1018</v>
      </c>
      <c r="E841" s="2"/>
      <c r="F841" t="s">
        <v>22</v>
      </c>
      <c r="G841" t="s">
        <v>177</v>
      </c>
      <c r="H841" t="s">
        <v>177</v>
      </c>
      <c r="I841"/>
    </row>
    <row r="842" spans="1:9">
      <c r="A842" t="s">
        <v>1017</v>
      </c>
      <c r="B842" s="1" t="str">
        <f>"20068523"</f>
        <v>20068523</v>
      </c>
      <c r="C842" t="s">
        <v>654</v>
      </c>
      <c r="D842" t="s">
        <v>1021</v>
      </c>
      <c r="E842" s="2"/>
      <c r="F842" t="s">
        <v>877</v>
      </c>
      <c r="G842" t="s">
        <v>571</v>
      </c>
      <c r="H842" t="s">
        <v>571</v>
      </c>
      <c r="I842"/>
    </row>
    <row r="843" spans="1:9">
      <c r="A843" t="s">
        <v>1017</v>
      </c>
      <c r="B843" s="1" t="str">
        <f>"20068523.2"</f>
        <v>20068523.2</v>
      </c>
      <c r="C843" t="s">
        <v>654</v>
      </c>
      <c r="D843" t="s">
        <v>1021</v>
      </c>
      <c r="E843" s="2"/>
      <c r="F843" t="s">
        <v>877</v>
      </c>
      <c r="G843" t="s">
        <v>571</v>
      </c>
      <c r="H843" t="s">
        <v>517</v>
      </c>
      <c r="I843"/>
    </row>
    <row r="844" spans="1:9">
      <c r="A844" t="s">
        <v>1017</v>
      </c>
      <c r="B844" s="1" t="str">
        <f>"20684921"</f>
        <v>20684921</v>
      </c>
      <c r="C844" t="s">
        <v>654</v>
      </c>
      <c r="D844" t="s">
        <v>1022</v>
      </c>
      <c r="E844" s="2"/>
      <c r="F844" t="s">
        <v>68</v>
      </c>
      <c r="G844" t="s">
        <v>988</v>
      </c>
      <c r="H844" t="s">
        <v>988</v>
      </c>
      <c r="I844"/>
    </row>
    <row r="845" spans="1:9">
      <c r="A845" t="s">
        <v>1017</v>
      </c>
      <c r="B845" s="1" t="str">
        <f>"20684921.2"</f>
        <v>20684921.2</v>
      </c>
      <c r="C845" t="s">
        <v>654</v>
      </c>
      <c r="D845" t="s">
        <v>1022</v>
      </c>
      <c r="E845" s="2"/>
      <c r="F845" t="s">
        <v>68</v>
      </c>
      <c r="G845" t="s">
        <v>988</v>
      </c>
      <c r="H845" t="s">
        <v>517</v>
      </c>
      <c r="I845"/>
    </row>
    <row r="846" spans="1:9">
      <c r="A846" t="s">
        <v>1023</v>
      </c>
      <c r="B846" s="1" t="str">
        <f>"20190041"</f>
        <v>20190041</v>
      </c>
      <c r="C846" t="s">
        <v>1024</v>
      </c>
      <c r="D846" t="s">
        <v>1025</v>
      </c>
      <c r="E846" s="2"/>
      <c r="F846" t="s">
        <v>1026</v>
      </c>
      <c r="G846" t="s">
        <v>37</v>
      </c>
      <c r="H846" t="s">
        <v>37</v>
      </c>
      <c r="I846"/>
    </row>
    <row r="847" spans="1:9">
      <c r="A847" t="s">
        <v>1023</v>
      </c>
      <c r="B847" s="1" t="str">
        <f>"20190042"</f>
        <v>20190042</v>
      </c>
      <c r="C847" t="s">
        <v>1024</v>
      </c>
      <c r="D847" t="s">
        <v>1027</v>
      </c>
      <c r="E847" s="2"/>
      <c r="F847" t="s">
        <v>1026</v>
      </c>
      <c r="G847" t="s">
        <v>37</v>
      </c>
      <c r="H847" t="s">
        <v>37</v>
      </c>
      <c r="I847"/>
    </row>
    <row r="848" spans="1:9">
      <c r="A848" t="s">
        <v>1023</v>
      </c>
      <c r="B848" s="1" t="str">
        <f>"20622213"</f>
        <v>20622213</v>
      </c>
      <c r="C848" t="s">
        <v>1024</v>
      </c>
      <c r="D848" t="s">
        <v>1028</v>
      </c>
      <c r="E848" s="2"/>
      <c r="F848" t="s">
        <v>1026</v>
      </c>
      <c r="G848" t="s">
        <v>37</v>
      </c>
      <c r="H848" t="s">
        <v>37</v>
      </c>
      <c r="I848"/>
    </row>
    <row r="849" spans="1:9">
      <c r="A849" t="s">
        <v>1023</v>
      </c>
      <c r="B849" s="1" t="str">
        <f>"20182145"</f>
        <v>20182145</v>
      </c>
      <c r="C849" t="s">
        <v>1029</v>
      </c>
      <c r="D849" t="s">
        <v>1030</v>
      </c>
      <c r="E849" s="2"/>
      <c r="F849" t="s">
        <v>736</v>
      </c>
      <c r="G849" t="s">
        <v>37</v>
      </c>
      <c r="H849" t="s">
        <v>37</v>
      </c>
      <c r="I849"/>
    </row>
    <row r="850" spans="1:9">
      <c r="A850" t="s">
        <v>1023</v>
      </c>
      <c r="B850" s="1" t="str">
        <f>"20182149"</f>
        <v>20182149</v>
      </c>
      <c r="C850" t="s">
        <v>1029</v>
      </c>
      <c r="D850" t="s">
        <v>1031</v>
      </c>
      <c r="E850" s="2"/>
      <c r="F850" t="s">
        <v>736</v>
      </c>
      <c r="G850"/>
      <c r="H850" t="s">
        <v>37</v>
      </c>
      <c r="I850"/>
    </row>
    <row r="851" spans="1:9">
      <c r="A851" t="s">
        <v>1023</v>
      </c>
      <c r="B851" s="1" t="str">
        <f>"20182150"</f>
        <v>20182150</v>
      </c>
      <c r="C851" t="s">
        <v>1029</v>
      </c>
      <c r="D851" t="s">
        <v>1032</v>
      </c>
      <c r="E851" s="2"/>
      <c r="F851" t="s">
        <v>736</v>
      </c>
      <c r="G851"/>
      <c r="H851" t="s">
        <v>37</v>
      </c>
      <c r="I851"/>
    </row>
    <row r="852" spans="1:9">
      <c r="A852" t="s">
        <v>1023</v>
      </c>
      <c r="B852" s="1" t="str">
        <f>"20274207"</f>
        <v>20274207</v>
      </c>
      <c r="C852" t="s">
        <v>225</v>
      </c>
      <c r="D852" t="s">
        <v>1033</v>
      </c>
      <c r="E852" s="2"/>
      <c r="F852" t="s">
        <v>221</v>
      </c>
      <c r="G852" t="s">
        <v>1034</v>
      </c>
      <c r="H852" t="s">
        <v>1034</v>
      </c>
      <c r="I852"/>
    </row>
    <row r="853" spans="1:9">
      <c r="A853" t="s">
        <v>1023</v>
      </c>
      <c r="B853" s="1" t="str">
        <f>"20274177"</f>
        <v>20274177</v>
      </c>
      <c r="C853" t="s">
        <v>225</v>
      </c>
      <c r="D853" t="s">
        <v>1035</v>
      </c>
      <c r="E853" s="2"/>
      <c r="F853" t="s">
        <v>221</v>
      </c>
      <c r="G853" t="s">
        <v>1034</v>
      </c>
      <c r="H853" t="s">
        <v>1034</v>
      </c>
      <c r="I853"/>
    </row>
    <row r="854" spans="1:9">
      <c r="A854" t="s">
        <v>1023</v>
      </c>
      <c r="B854" s="1" t="str">
        <f>"20274192"</f>
        <v>20274192</v>
      </c>
      <c r="C854" t="s">
        <v>225</v>
      </c>
      <c r="D854" t="s">
        <v>1036</v>
      </c>
      <c r="E854" s="2"/>
      <c r="F854" t="s">
        <v>221</v>
      </c>
      <c r="G854" t="s">
        <v>1034</v>
      </c>
      <c r="H854" t="s">
        <v>1034</v>
      </c>
      <c r="I854"/>
    </row>
    <row r="855" spans="1:9">
      <c r="A855" t="s">
        <v>1023</v>
      </c>
      <c r="B855" s="1" t="str">
        <f>"20862480"</f>
        <v>20862480</v>
      </c>
      <c r="C855" t="s">
        <v>225</v>
      </c>
      <c r="D855" t="s">
        <v>1037</v>
      </c>
      <c r="E855" s="2"/>
      <c r="F855" t="s">
        <v>221</v>
      </c>
      <c r="G855" t="s">
        <v>1034</v>
      </c>
      <c r="H855" t="s">
        <v>1034</v>
      </c>
      <c r="I855"/>
    </row>
    <row r="856" spans="1:9">
      <c r="A856" t="s">
        <v>1023</v>
      </c>
      <c r="B856" s="1" t="str">
        <f>"20274214"</f>
        <v>20274214</v>
      </c>
      <c r="C856" t="s">
        <v>225</v>
      </c>
      <c r="D856" t="s">
        <v>1038</v>
      </c>
      <c r="E856" s="2"/>
      <c r="F856" t="s">
        <v>221</v>
      </c>
      <c r="G856" t="s">
        <v>1034</v>
      </c>
      <c r="H856" t="s">
        <v>1034</v>
      </c>
      <c r="I856"/>
    </row>
    <row r="857" spans="1:9">
      <c r="A857" t="s">
        <v>1023</v>
      </c>
      <c r="B857" s="1" t="str">
        <f>"20274191"</f>
        <v>20274191</v>
      </c>
      <c r="C857" t="s">
        <v>225</v>
      </c>
      <c r="D857" t="s">
        <v>1039</v>
      </c>
      <c r="E857" s="2"/>
      <c r="F857" t="s">
        <v>221</v>
      </c>
      <c r="G857" t="s">
        <v>1034</v>
      </c>
      <c r="H857" t="s">
        <v>1034</v>
      </c>
      <c r="I857"/>
    </row>
    <row r="858" spans="1:9">
      <c r="A858" t="s">
        <v>1023</v>
      </c>
      <c r="B858" s="1" t="str">
        <f>"20514129"</f>
        <v>20514129</v>
      </c>
      <c r="C858" t="s">
        <v>225</v>
      </c>
      <c r="D858" t="s">
        <v>1040</v>
      </c>
      <c r="E858" s="2"/>
      <c r="F858" t="s">
        <v>221</v>
      </c>
      <c r="G858" t="s">
        <v>1034</v>
      </c>
      <c r="H858" t="s">
        <v>1034</v>
      </c>
      <c r="I858"/>
    </row>
    <row r="859" spans="1:9">
      <c r="A859" t="s">
        <v>1023</v>
      </c>
      <c r="B859" s="1" t="str">
        <f>"20049850"</f>
        <v>20049850</v>
      </c>
      <c r="C859" t="s">
        <v>225</v>
      </c>
      <c r="D859" t="s">
        <v>1041</v>
      </c>
      <c r="E859" s="2"/>
      <c r="F859" t="s">
        <v>221</v>
      </c>
      <c r="G859" t="s">
        <v>1034</v>
      </c>
      <c r="H859" t="s">
        <v>1034</v>
      </c>
      <c r="I859"/>
    </row>
    <row r="860" spans="1:9">
      <c r="A860" t="s">
        <v>1023</v>
      </c>
      <c r="B860" s="1" t="str">
        <f>"20020449"</f>
        <v>20020449</v>
      </c>
      <c r="C860" t="s">
        <v>1042</v>
      </c>
      <c r="D860" t="s">
        <v>1043</v>
      </c>
      <c r="E860" s="2"/>
      <c r="F860" t="s">
        <v>221</v>
      </c>
      <c r="G860" t="s">
        <v>952</v>
      </c>
      <c r="H860" t="s">
        <v>952</v>
      </c>
      <c r="I860"/>
    </row>
    <row r="861" spans="1:9">
      <c r="A861" t="s">
        <v>1023</v>
      </c>
      <c r="B861" s="1" t="str">
        <f>"20020449.2"</f>
        <v>20020449.2</v>
      </c>
      <c r="C861" t="s">
        <v>1042</v>
      </c>
      <c r="D861" t="s">
        <v>1043</v>
      </c>
      <c r="E861" s="2"/>
      <c r="F861" t="s">
        <v>221</v>
      </c>
      <c r="G861" t="s">
        <v>952</v>
      </c>
      <c r="H861" t="s">
        <v>383</v>
      </c>
      <c r="I861"/>
    </row>
    <row r="862" spans="1:9">
      <c r="A862" t="s">
        <v>1023</v>
      </c>
      <c r="B862" s="1" t="str">
        <f>"20823757"</f>
        <v>20823757</v>
      </c>
      <c r="C862" t="s">
        <v>1044</v>
      </c>
      <c r="D862" t="s">
        <v>1045</v>
      </c>
      <c r="E862" s="2"/>
      <c r="F862" t="s">
        <v>137</v>
      </c>
      <c r="G862" t="s">
        <v>38</v>
      </c>
      <c r="H862" t="s">
        <v>38</v>
      </c>
      <c r="I862"/>
    </row>
    <row r="863" spans="1:9">
      <c r="A863" t="s">
        <v>1023</v>
      </c>
      <c r="B863" s="1" t="str">
        <f>"20823689"</f>
        <v>20823689</v>
      </c>
      <c r="C863" t="s">
        <v>1044</v>
      </c>
      <c r="D863" t="s">
        <v>1046</v>
      </c>
      <c r="E863" s="2"/>
      <c r="F863" t="s">
        <v>137</v>
      </c>
      <c r="G863" t="s">
        <v>38</v>
      </c>
      <c r="H863" t="s">
        <v>38</v>
      </c>
      <c r="I863"/>
    </row>
    <row r="864" spans="1:9">
      <c r="A864" t="s">
        <v>1023</v>
      </c>
      <c r="B864" s="1" t="str">
        <f>"20823795"</f>
        <v>20823795</v>
      </c>
      <c r="C864" t="s">
        <v>1044</v>
      </c>
      <c r="D864" t="s">
        <v>1047</v>
      </c>
      <c r="E864" s="2"/>
      <c r="F864" t="s">
        <v>137</v>
      </c>
      <c r="G864" t="s">
        <v>38</v>
      </c>
      <c r="H864" t="s">
        <v>38</v>
      </c>
      <c r="I864"/>
    </row>
    <row r="865" spans="1:9">
      <c r="A865" t="s">
        <v>1023</v>
      </c>
      <c r="B865" s="1" t="str">
        <f>"20823726"</f>
        <v>20823726</v>
      </c>
      <c r="C865" t="s">
        <v>1044</v>
      </c>
      <c r="D865" t="s">
        <v>1048</v>
      </c>
      <c r="E865" s="2"/>
      <c r="F865" t="s">
        <v>137</v>
      </c>
      <c r="G865" t="s">
        <v>38</v>
      </c>
      <c r="H865" t="s">
        <v>38</v>
      </c>
      <c r="I865"/>
    </row>
    <row r="866" spans="1:9">
      <c r="A866" t="s">
        <v>1023</v>
      </c>
      <c r="B866" s="1" t="str">
        <f>"20823825"</f>
        <v>20823825</v>
      </c>
      <c r="C866" t="s">
        <v>1044</v>
      </c>
      <c r="D866" t="s">
        <v>1049</v>
      </c>
      <c r="E866" s="2"/>
      <c r="F866" t="s">
        <v>137</v>
      </c>
      <c r="G866" t="s">
        <v>38</v>
      </c>
      <c r="H866" t="s">
        <v>38</v>
      </c>
      <c r="I866"/>
    </row>
    <row r="867" spans="1:9">
      <c r="A867" t="s">
        <v>1023</v>
      </c>
      <c r="B867" s="1" t="str">
        <f>"20823887"</f>
        <v>20823887</v>
      </c>
      <c r="C867" t="s">
        <v>1044</v>
      </c>
      <c r="D867" t="s">
        <v>1050</v>
      </c>
      <c r="E867" s="2"/>
      <c r="F867" t="s">
        <v>137</v>
      </c>
      <c r="G867" t="s">
        <v>38</v>
      </c>
      <c r="H867" t="s">
        <v>38</v>
      </c>
      <c r="I867"/>
    </row>
    <row r="868" spans="1:9">
      <c r="A868" t="s">
        <v>1023</v>
      </c>
      <c r="B868" s="1" t="str">
        <f>"20103330"</f>
        <v>20103330</v>
      </c>
      <c r="C868" t="s">
        <v>1044</v>
      </c>
      <c r="D868" t="s">
        <v>1051</v>
      </c>
      <c r="E868" s="2"/>
      <c r="F868" t="s">
        <v>68</v>
      </c>
      <c r="G868" t="s">
        <v>37</v>
      </c>
      <c r="H868" t="s">
        <v>37</v>
      </c>
      <c r="I868"/>
    </row>
    <row r="869" spans="1:9">
      <c r="A869" t="s">
        <v>1023</v>
      </c>
      <c r="B869" s="1" t="str">
        <f>"20011239"</f>
        <v>20011239</v>
      </c>
      <c r="C869" t="s">
        <v>1044</v>
      </c>
      <c r="D869" t="s">
        <v>1052</v>
      </c>
      <c r="E869" s="2"/>
      <c r="F869" t="s">
        <v>68</v>
      </c>
      <c r="G869" t="s">
        <v>37</v>
      </c>
      <c r="H869" t="s">
        <v>37</v>
      </c>
      <c r="I869"/>
    </row>
    <row r="870" spans="1:9">
      <c r="A870" t="s">
        <v>1023</v>
      </c>
      <c r="B870" s="1" t="str">
        <f>"20823764"</f>
        <v>20823764</v>
      </c>
      <c r="C870" t="s">
        <v>1044</v>
      </c>
      <c r="D870" t="s">
        <v>1053</v>
      </c>
      <c r="E870" s="2"/>
      <c r="F870" t="s">
        <v>137</v>
      </c>
      <c r="G870" t="s">
        <v>38</v>
      </c>
      <c r="H870" t="s">
        <v>38</v>
      </c>
      <c r="I870"/>
    </row>
    <row r="871" spans="1:9">
      <c r="A871" t="s">
        <v>1023</v>
      </c>
      <c r="B871" s="1" t="str">
        <f>"20047344"</f>
        <v>20047344</v>
      </c>
      <c r="C871" t="s">
        <v>1044</v>
      </c>
      <c r="D871" t="s">
        <v>1054</v>
      </c>
      <c r="E871" s="2"/>
      <c r="F871" t="s">
        <v>68</v>
      </c>
      <c r="G871" t="s">
        <v>37</v>
      </c>
      <c r="H871" t="s">
        <v>37</v>
      </c>
      <c r="I871"/>
    </row>
    <row r="872" spans="1:9">
      <c r="A872" t="s">
        <v>1023</v>
      </c>
      <c r="B872" s="1" t="str">
        <f>"20046828"</f>
        <v>20046828</v>
      </c>
      <c r="C872" t="s">
        <v>1044</v>
      </c>
      <c r="D872" t="s">
        <v>1055</v>
      </c>
      <c r="E872" s="2"/>
      <c r="F872" t="s">
        <v>68</v>
      </c>
      <c r="G872" t="s">
        <v>37</v>
      </c>
      <c r="H872" t="s">
        <v>37</v>
      </c>
      <c r="I872"/>
    </row>
    <row r="873" spans="1:9">
      <c r="A873" t="s">
        <v>1023</v>
      </c>
      <c r="B873" s="1" t="str">
        <f>"20012458M"</f>
        <v>20012458M</v>
      </c>
      <c r="C873" t="s">
        <v>1044</v>
      </c>
      <c r="D873" t="s">
        <v>1056</v>
      </c>
      <c r="E873" s="2"/>
      <c r="F873" t="s">
        <v>68</v>
      </c>
      <c r="G873" t="s">
        <v>37</v>
      </c>
      <c r="H873" t="s">
        <v>37</v>
      </c>
      <c r="I873"/>
    </row>
    <row r="874" spans="1:9">
      <c r="A874" t="s">
        <v>1023</v>
      </c>
      <c r="B874" s="1" t="str">
        <f>"20823771"</f>
        <v>20823771</v>
      </c>
      <c r="C874" t="s">
        <v>1044</v>
      </c>
      <c r="D874" t="s">
        <v>1057</v>
      </c>
      <c r="E874" s="2"/>
      <c r="F874" t="s">
        <v>137</v>
      </c>
      <c r="G874" t="s">
        <v>38</v>
      </c>
      <c r="H874" t="s">
        <v>38</v>
      </c>
      <c r="I874"/>
    </row>
    <row r="875" spans="1:9">
      <c r="A875" t="s">
        <v>1023</v>
      </c>
      <c r="B875" s="1" t="str">
        <f>"20272852"</f>
        <v>20272852</v>
      </c>
      <c r="C875" t="s">
        <v>1044</v>
      </c>
      <c r="D875" t="s">
        <v>1058</v>
      </c>
      <c r="E875" s="2"/>
      <c r="F875" t="s">
        <v>124</v>
      </c>
      <c r="G875" t="s">
        <v>1059</v>
      </c>
      <c r="H875" t="s">
        <v>1059</v>
      </c>
      <c r="I875"/>
    </row>
    <row r="876" spans="1:9">
      <c r="A876" t="s">
        <v>1023</v>
      </c>
      <c r="B876" s="1" t="str">
        <f>"20823849"</f>
        <v>20823849</v>
      </c>
      <c r="C876" t="s">
        <v>1044</v>
      </c>
      <c r="D876" t="s">
        <v>1060</v>
      </c>
      <c r="E876" s="2"/>
      <c r="F876" t="s">
        <v>137</v>
      </c>
      <c r="G876" t="s">
        <v>38</v>
      </c>
      <c r="H876" t="s">
        <v>38</v>
      </c>
      <c r="I876"/>
    </row>
    <row r="877" spans="1:9">
      <c r="A877" t="s">
        <v>1023</v>
      </c>
      <c r="B877" s="1" t="str">
        <f>"20823801"</f>
        <v>20823801</v>
      </c>
      <c r="C877" t="s">
        <v>1044</v>
      </c>
      <c r="D877" t="s">
        <v>1061</v>
      </c>
      <c r="E877" s="2"/>
      <c r="F877" t="s">
        <v>137</v>
      </c>
      <c r="G877" t="s">
        <v>38</v>
      </c>
      <c r="H877" t="s">
        <v>38</v>
      </c>
      <c r="I877"/>
    </row>
    <row r="878" spans="1:9">
      <c r="A878" t="s">
        <v>1023</v>
      </c>
      <c r="B878" s="1" t="str">
        <f>"20823894"</f>
        <v>20823894</v>
      </c>
      <c r="C878" t="s">
        <v>1044</v>
      </c>
      <c r="D878" t="s">
        <v>1062</v>
      </c>
      <c r="E878" s="2"/>
      <c r="F878" t="s">
        <v>137</v>
      </c>
      <c r="G878" t="s">
        <v>38</v>
      </c>
      <c r="H878" t="s">
        <v>38</v>
      </c>
      <c r="I878"/>
    </row>
    <row r="879" spans="1:9">
      <c r="A879" t="s">
        <v>1023</v>
      </c>
      <c r="B879" s="1" t="str">
        <f>"20823719"</f>
        <v>20823719</v>
      </c>
      <c r="C879" t="s">
        <v>1044</v>
      </c>
      <c r="D879" t="s">
        <v>1063</v>
      </c>
      <c r="E879" s="2"/>
      <c r="F879" t="s">
        <v>137</v>
      </c>
      <c r="G879" t="s">
        <v>38</v>
      </c>
      <c r="H879" t="s">
        <v>38</v>
      </c>
      <c r="I879"/>
    </row>
    <row r="880" spans="1:9">
      <c r="A880" t="s">
        <v>1023</v>
      </c>
      <c r="B880" s="1" t="str">
        <f>"20823733"</f>
        <v>20823733</v>
      </c>
      <c r="C880" t="s">
        <v>1044</v>
      </c>
      <c r="D880" t="s">
        <v>1064</v>
      </c>
      <c r="E880" s="2"/>
      <c r="F880" t="s">
        <v>137</v>
      </c>
      <c r="G880" t="s">
        <v>38</v>
      </c>
      <c r="H880" t="s">
        <v>38</v>
      </c>
      <c r="I880"/>
    </row>
    <row r="881" spans="1:9">
      <c r="A881" t="s">
        <v>1023</v>
      </c>
      <c r="B881" s="1" t="str">
        <f>"20823788"</f>
        <v>20823788</v>
      </c>
      <c r="C881" t="s">
        <v>1044</v>
      </c>
      <c r="D881" t="s">
        <v>1065</v>
      </c>
      <c r="E881" s="2"/>
      <c r="F881" t="s">
        <v>137</v>
      </c>
      <c r="G881" t="s">
        <v>38</v>
      </c>
      <c r="H881" t="s">
        <v>38</v>
      </c>
      <c r="I881"/>
    </row>
    <row r="882" spans="1:9">
      <c r="A882" t="s">
        <v>1023</v>
      </c>
      <c r="B882" s="1" t="str">
        <f>"24000002"</f>
        <v>24000002</v>
      </c>
      <c r="C882" t="s">
        <v>1044</v>
      </c>
      <c r="D882" t="s">
        <v>1066</v>
      </c>
      <c r="E882" s="2"/>
      <c r="F882" t="s">
        <v>771</v>
      </c>
      <c r="G882" t="s">
        <v>38</v>
      </c>
      <c r="H882" t="s">
        <v>38</v>
      </c>
      <c r="I882"/>
    </row>
    <row r="883" spans="1:9">
      <c r="A883" t="s">
        <v>1023</v>
      </c>
      <c r="B883" s="1" t="str">
        <f>"24000001"</f>
        <v>24000001</v>
      </c>
      <c r="C883" t="s">
        <v>1044</v>
      </c>
      <c r="D883" t="s">
        <v>1067</v>
      </c>
      <c r="E883" s="2"/>
      <c r="F883" t="s">
        <v>771</v>
      </c>
      <c r="G883" t="s">
        <v>38</v>
      </c>
      <c r="H883" t="s">
        <v>38</v>
      </c>
      <c r="I883"/>
    </row>
    <row r="884" spans="1:9">
      <c r="A884" t="s">
        <v>1023</v>
      </c>
      <c r="B884" s="1" t="str">
        <f>"24000003"</f>
        <v>24000003</v>
      </c>
      <c r="C884" t="s">
        <v>1044</v>
      </c>
      <c r="D884" t="s">
        <v>1068</v>
      </c>
      <c r="E884" s="2"/>
      <c r="F884" t="s">
        <v>771</v>
      </c>
      <c r="G884" t="s">
        <v>38</v>
      </c>
      <c r="H884" t="s">
        <v>38</v>
      </c>
      <c r="I884"/>
    </row>
    <row r="885" spans="1:9">
      <c r="A885" t="s">
        <v>1023</v>
      </c>
      <c r="B885" s="1" t="str">
        <f>"24000004"</f>
        <v>24000004</v>
      </c>
      <c r="C885" t="s">
        <v>1044</v>
      </c>
      <c r="D885" t="s">
        <v>1069</v>
      </c>
      <c r="E885" s="2"/>
      <c r="F885" t="s">
        <v>771</v>
      </c>
      <c r="G885" t="s">
        <v>38</v>
      </c>
      <c r="H885" t="s">
        <v>38</v>
      </c>
      <c r="I885"/>
    </row>
    <row r="886" spans="1:9">
      <c r="A886" t="s">
        <v>1023</v>
      </c>
      <c r="B886" s="1" t="str">
        <f>"25500772"</f>
        <v>25500772</v>
      </c>
      <c r="C886" t="s">
        <v>1044</v>
      </c>
      <c r="D886" t="s">
        <v>1070</v>
      </c>
      <c r="E886" s="2"/>
      <c r="F886" t="s">
        <v>771</v>
      </c>
      <c r="G886" t="s">
        <v>38</v>
      </c>
      <c r="H886" t="s">
        <v>38</v>
      </c>
      <c r="I886"/>
    </row>
    <row r="887" spans="1:9">
      <c r="A887" t="s">
        <v>1023</v>
      </c>
      <c r="B887" s="1" t="str">
        <f>"20020448"</f>
        <v>20020448</v>
      </c>
      <c r="C887" t="s">
        <v>1044</v>
      </c>
      <c r="D887" t="s">
        <v>1071</v>
      </c>
      <c r="E887" s="2"/>
      <c r="F887" t="s">
        <v>46</v>
      </c>
      <c r="G887" t="s">
        <v>37</v>
      </c>
      <c r="H887" t="s">
        <v>37</v>
      </c>
      <c r="I887"/>
    </row>
    <row r="888" spans="1:9">
      <c r="A888" t="s">
        <v>1023</v>
      </c>
      <c r="B888" s="1" t="str">
        <f>"20086428"</f>
        <v>20086428</v>
      </c>
      <c r="C888" t="s">
        <v>1072</v>
      </c>
      <c r="D888" t="s">
        <v>1073</v>
      </c>
      <c r="E888" s="2"/>
      <c r="F888" t="s">
        <v>46</v>
      </c>
      <c r="G888" t="s">
        <v>1074</v>
      </c>
      <c r="H888" t="s">
        <v>1074</v>
      </c>
      <c r="I888"/>
    </row>
    <row r="889" spans="1:9">
      <c r="A889" t="s">
        <v>1023</v>
      </c>
      <c r="B889" s="1" t="str">
        <f>"20823835"</f>
        <v>20823835</v>
      </c>
      <c r="C889" t="s">
        <v>1072</v>
      </c>
      <c r="D889" t="s">
        <v>1075</v>
      </c>
      <c r="E889" s="2"/>
      <c r="F889" t="s">
        <v>794</v>
      </c>
      <c r="G889" t="s">
        <v>37</v>
      </c>
      <c r="H889" t="s">
        <v>1034</v>
      </c>
      <c r="I889"/>
    </row>
    <row r="890" spans="1:9">
      <c r="A890" t="s">
        <v>1023</v>
      </c>
      <c r="B890" s="1" t="str">
        <f>"20823834"</f>
        <v>20823834</v>
      </c>
      <c r="C890" t="s">
        <v>1072</v>
      </c>
      <c r="D890" t="s">
        <v>1076</v>
      </c>
      <c r="E890" s="2"/>
      <c r="F890" t="s">
        <v>794</v>
      </c>
      <c r="G890" t="s">
        <v>1034</v>
      </c>
      <c r="H890" t="s">
        <v>1034</v>
      </c>
      <c r="I890"/>
    </row>
    <row r="891" spans="1:9">
      <c r="A891" t="s">
        <v>1023</v>
      </c>
      <c r="B891" s="1" t="str">
        <f>"20050214"</f>
        <v>20050214</v>
      </c>
      <c r="C891" t="s">
        <v>1072</v>
      </c>
      <c r="D891" t="s">
        <v>1025</v>
      </c>
      <c r="E891" s="2"/>
      <c r="F891" t="s">
        <v>68</v>
      </c>
      <c r="G891" t="s">
        <v>1077</v>
      </c>
      <c r="H891" t="s">
        <v>1077</v>
      </c>
      <c r="I891"/>
    </row>
    <row r="892" spans="1:9">
      <c r="A892" t="s">
        <v>1023</v>
      </c>
      <c r="B892" s="1" t="str">
        <f>"20050184"</f>
        <v>20050184</v>
      </c>
      <c r="C892" t="s">
        <v>1072</v>
      </c>
      <c r="D892" t="s">
        <v>1078</v>
      </c>
      <c r="E892" s="2"/>
      <c r="F892" t="s">
        <v>68</v>
      </c>
      <c r="G892" t="s">
        <v>1077</v>
      </c>
      <c r="H892" t="s">
        <v>1077</v>
      </c>
      <c r="I892"/>
    </row>
    <row r="893" spans="1:9">
      <c r="A893" t="s">
        <v>1023</v>
      </c>
      <c r="B893" s="1" t="str">
        <f>"20038328"</f>
        <v>20038328</v>
      </c>
      <c r="C893" t="s">
        <v>1072</v>
      </c>
      <c r="D893" t="s">
        <v>1079</v>
      </c>
      <c r="E893" s="2"/>
      <c r="F893" t="s">
        <v>794</v>
      </c>
      <c r="G893" t="s">
        <v>1080</v>
      </c>
      <c r="H893" t="s">
        <v>1080</v>
      </c>
      <c r="I893"/>
    </row>
    <row r="894" spans="1:9">
      <c r="A894" t="s">
        <v>1023</v>
      </c>
      <c r="B894" s="1" t="str">
        <f>"20037819"</f>
        <v>20037819</v>
      </c>
      <c r="C894" t="s">
        <v>1072</v>
      </c>
      <c r="D894" t="s">
        <v>1081</v>
      </c>
      <c r="E894" s="2"/>
      <c r="F894" t="s">
        <v>68</v>
      </c>
      <c r="G894" t="s">
        <v>1077</v>
      </c>
      <c r="H894" t="s">
        <v>1077</v>
      </c>
      <c r="I894"/>
    </row>
    <row r="895" spans="1:9">
      <c r="A895" t="s">
        <v>1023</v>
      </c>
      <c r="B895" s="1" t="str">
        <f>"24337698"</f>
        <v>24337698</v>
      </c>
      <c r="C895" t="s">
        <v>1072</v>
      </c>
      <c r="D895" t="s">
        <v>1065</v>
      </c>
      <c r="E895" s="2"/>
      <c r="F895" t="s">
        <v>68</v>
      </c>
      <c r="G895" t="s">
        <v>1077</v>
      </c>
      <c r="H895" t="s">
        <v>1077</v>
      </c>
      <c r="I895"/>
    </row>
    <row r="896" spans="1:9">
      <c r="A896" t="s">
        <v>1023</v>
      </c>
      <c r="B896" s="1" t="str">
        <f>"20047345"</f>
        <v>20047345</v>
      </c>
      <c r="C896" t="s">
        <v>1072</v>
      </c>
      <c r="D896" t="s">
        <v>1082</v>
      </c>
      <c r="E896" s="2"/>
      <c r="F896" t="s">
        <v>68</v>
      </c>
      <c r="G896" t="s">
        <v>1034</v>
      </c>
      <c r="H896" t="s">
        <v>1034</v>
      </c>
      <c r="I896"/>
    </row>
    <row r="897" spans="1:9">
      <c r="A897" t="s">
        <v>1023</v>
      </c>
      <c r="B897" s="1" t="str">
        <f>"20102129"</f>
        <v>20102129</v>
      </c>
      <c r="C897" t="s">
        <v>1072</v>
      </c>
      <c r="D897" t="s">
        <v>1083</v>
      </c>
      <c r="E897" s="2"/>
      <c r="F897" t="s">
        <v>68</v>
      </c>
      <c r="G897" t="s">
        <v>1034</v>
      </c>
      <c r="H897" t="s">
        <v>1034</v>
      </c>
      <c r="I897"/>
    </row>
    <row r="898" spans="1:9">
      <c r="A898" t="s">
        <v>1023</v>
      </c>
      <c r="B898" s="1" t="str">
        <f>"20102130"</f>
        <v>20102130</v>
      </c>
      <c r="C898" t="s">
        <v>1072</v>
      </c>
      <c r="D898" t="s">
        <v>1084</v>
      </c>
      <c r="E898" s="2"/>
      <c r="F898" t="s">
        <v>68</v>
      </c>
      <c r="G898" t="s">
        <v>1034</v>
      </c>
      <c r="H898" t="s">
        <v>1034</v>
      </c>
      <c r="I898"/>
    </row>
    <row r="899" spans="1:9">
      <c r="A899" t="s">
        <v>1023</v>
      </c>
      <c r="B899" s="1" t="str">
        <f>"20102131"</f>
        <v>20102131</v>
      </c>
      <c r="C899" t="s">
        <v>1072</v>
      </c>
      <c r="D899" t="s">
        <v>1085</v>
      </c>
      <c r="E899" s="2"/>
      <c r="F899" t="s">
        <v>68</v>
      </c>
      <c r="G899" t="s">
        <v>1034</v>
      </c>
      <c r="H899" t="s">
        <v>1034</v>
      </c>
      <c r="I899"/>
    </row>
    <row r="900" spans="1:9">
      <c r="A900" t="s">
        <v>1086</v>
      </c>
      <c r="B900" s="1" t="str">
        <f>"20102319"</f>
        <v>20102319</v>
      </c>
      <c r="C900" t="s">
        <v>343</v>
      </c>
      <c r="D900" t="s">
        <v>1087</v>
      </c>
      <c r="E900" s="2"/>
      <c r="F900" t="s">
        <v>61</v>
      </c>
      <c r="G900" t="s">
        <v>37</v>
      </c>
      <c r="H900" t="s">
        <v>37</v>
      </c>
      <c r="I900"/>
    </row>
    <row r="901" spans="1:9">
      <c r="A901" t="s">
        <v>1086</v>
      </c>
      <c r="B901" s="1" t="str">
        <f>"20102319.2"</f>
        <v>20102319.2</v>
      </c>
      <c r="C901" t="s">
        <v>343</v>
      </c>
      <c r="D901" t="s">
        <v>1087</v>
      </c>
      <c r="E901" s="2"/>
      <c r="F901" t="s">
        <v>61</v>
      </c>
      <c r="G901" t="s">
        <v>37</v>
      </c>
      <c r="H901" t="s">
        <v>1088</v>
      </c>
      <c r="I901"/>
    </row>
    <row r="902" spans="1:9">
      <c r="A902" t="s">
        <v>1089</v>
      </c>
      <c r="B902" s="1" t="str">
        <f>"20190068"</f>
        <v>20190068</v>
      </c>
      <c r="C902" t="s">
        <v>10</v>
      </c>
      <c r="D902" t="s">
        <v>1090</v>
      </c>
      <c r="E902" s="2"/>
      <c r="F902" t="s">
        <v>27</v>
      </c>
      <c r="G902" t="s">
        <v>1091</v>
      </c>
      <c r="H902" t="s">
        <v>1091</v>
      </c>
      <c r="I902"/>
    </row>
    <row r="903" spans="1:9">
      <c r="A903" t="s">
        <v>1089</v>
      </c>
      <c r="B903" s="1" t="str">
        <f>"20102210"</f>
        <v>20102210</v>
      </c>
      <c r="C903" t="s">
        <v>1092</v>
      </c>
      <c r="D903" t="s">
        <v>1093</v>
      </c>
      <c r="E903" s="2"/>
      <c r="F903" t="s">
        <v>22</v>
      </c>
      <c r="G903" t="s">
        <v>1034</v>
      </c>
      <c r="H903" t="s">
        <v>1034</v>
      </c>
      <c r="I903"/>
    </row>
    <row r="904" spans="1:9">
      <c r="A904" t="s">
        <v>1089</v>
      </c>
      <c r="B904" s="1" t="str">
        <f>"20102210.2"</f>
        <v>20102210.2</v>
      </c>
      <c r="C904" t="s">
        <v>1092</v>
      </c>
      <c r="D904" t="s">
        <v>1093</v>
      </c>
      <c r="E904" s="2"/>
      <c r="F904" t="s">
        <v>22</v>
      </c>
      <c r="G904" t="s">
        <v>1034</v>
      </c>
      <c r="H904" t="s">
        <v>1088</v>
      </c>
      <c r="I904"/>
    </row>
    <row r="905" spans="1:9">
      <c r="A905" t="s">
        <v>1089</v>
      </c>
      <c r="B905" s="1" t="str">
        <f>"24290782"</f>
        <v>24290782</v>
      </c>
      <c r="C905" t="s">
        <v>1092</v>
      </c>
      <c r="D905" t="s">
        <v>1094</v>
      </c>
      <c r="E905" s="2"/>
      <c r="F905" t="s">
        <v>221</v>
      </c>
      <c r="G905" t="s">
        <v>37</v>
      </c>
      <c r="H905" t="s">
        <v>37</v>
      </c>
      <c r="I905"/>
    </row>
    <row r="906" spans="1:9">
      <c r="A906" t="s">
        <v>1089</v>
      </c>
      <c r="B906" s="1" t="str">
        <f>"24290782.2"</f>
        <v>24290782.2</v>
      </c>
      <c r="C906" t="s">
        <v>1092</v>
      </c>
      <c r="D906" t="s">
        <v>1094</v>
      </c>
      <c r="E906" s="2"/>
      <c r="F906" t="s">
        <v>221</v>
      </c>
      <c r="G906" t="s">
        <v>37</v>
      </c>
      <c r="H906" t="s">
        <v>1088</v>
      </c>
      <c r="I906"/>
    </row>
    <row r="907" spans="1:9">
      <c r="A907" t="s">
        <v>1089</v>
      </c>
      <c r="B907" s="1" t="str">
        <f>"20105761"</f>
        <v>20105761</v>
      </c>
      <c r="C907" t="s">
        <v>1092</v>
      </c>
      <c r="D907" t="s">
        <v>1095</v>
      </c>
      <c r="E907" s="2"/>
      <c r="F907" t="s">
        <v>22</v>
      </c>
      <c r="G907" t="s">
        <v>37</v>
      </c>
      <c r="H907" t="s">
        <v>37</v>
      </c>
      <c r="I907"/>
    </row>
    <row r="908" spans="1:9">
      <c r="A908" t="s">
        <v>1089</v>
      </c>
      <c r="B908" s="1" t="str">
        <f>"20106065"</f>
        <v>20106065</v>
      </c>
      <c r="C908" t="s">
        <v>1092</v>
      </c>
      <c r="D908" t="s">
        <v>1096</v>
      </c>
      <c r="E908" s="2"/>
      <c r="F908" t="s">
        <v>22</v>
      </c>
      <c r="G908" t="s">
        <v>1034</v>
      </c>
      <c r="H908" t="s">
        <v>1034</v>
      </c>
      <c r="I908"/>
    </row>
    <row r="909" spans="1:9">
      <c r="A909" t="s">
        <v>1089</v>
      </c>
      <c r="B909" s="1" t="str">
        <f>"20106065.2"</f>
        <v>20106065.2</v>
      </c>
      <c r="C909" t="s">
        <v>1092</v>
      </c>
      <c r="D909" t="s">
        <v>1096</v>
      </c>
      <c r="E909" s="2"/>
      <c r="F909" t="s">
        <v>22</v>
      </c>
      <c r="G909" t="s">
        <v>1034</v>
      </c>
      <c r="H909" t="s">
        <v>1088</v>
      </c>
      <c r="I909"/>
    </row>
    <row r="910" spans="1:9">
      <c r="A910" t="s">
        <v>1089</v>
      </c>
      <c r="B910" s="1" t="str">
        <f>"20105921"</f>
        <v>20105921</v>
      </c>
      <c r="C910" t="s">
        <v>1092</v>
      </c>
      <c r="D910" t="s">
        <v>1097</v>
      </c>
      <c r="E910" s="2"/>
      <c r="F910" t="s">
        <v>22</v>
      </c>
      <c r="G910" t="s">
        <v>1034</v>
      </c>
      <c r="H910" t="s">
        <v>1034</v>
      </c>
      <c r="I910"/>
    </row>
    <row r="911" spans="1:9">
      <c r="A911" t="s">
        <v>1089</v>
      </c>
      <c r="B911" s="1" t="str">
        <f>"20105921.2"</f>
        <v>20105921.2</v>
      </c>
      <c r="C911" t="s">
        <v>1092</v>
      </c>
      <c r="D911" t="s">
        <v>1097</v>
      </c>
      <c r="E911" s="2"/>
      <c r="F911" t="s">
        <v>22</v>
      </c>
      <c r="G911" t="s">
        <v>1034</v>
      </c>
      <c r="H911" t="s">
        <v>1088</v>
      </c>
      <c r="I911"/>
    </row>
    <row r="912" spans="1:9">
      <c r="A912" t="s">
        <v>1089</v>
      </c>
      <c r="B912" s="1" t="str">
        <f>"20166045"</f>
        <v>20166045</v>
      </c>
      <c r="C912" t="s">
        <v>1098</v>
      </c>
      <c r="D912" t="s">
        <v>1099</v>
      </c>
      <c r="E912" s="2"/>
      <c r="F912" t="s">
        <v>90</v>
      </c>
      <c r="G912" t="s">
        <v>120</v>
      </c>
      <c r="H912" t="s">
        <v>120</v>
      </c>
      <c r="I912"/>
    </row>
    <row r="913" spans="1:9">
      <c r="A913" t="s">
        <v>1089</v>
      </c>
      <c r="B913" s="1" t="str">
        <f>"20166045.2"</f>
        <v>20166045.2</v>
      </c>
      <c r="C913" t="s">
        <v>1098</v>
      </c>
      <c r="D913" t="s">
        <v>1099</v>
      </c>
      <c r="E913" s="2"/>
      <c r="F913" t="s">
        <v>90</v>
      </c>
      <c r="G913" t="s">
        <v>120</v>
      </c>
      <c r="H913" t="s">
        <v>1088</v>
      </c>
      <c r="I913"/>
    </row>
    <row r="914" spans="1:9">
      <c r="A914" t="s">
        <v>1089</v>
      </c>
      <c r="B914" s="1" t="str">
        <f>"20717377"</f>
        <v>20717377</v>
      </c>
      <c r="C914" t="s">
        <v>1098</v>
      </c>
      <c r="D914" t="s">
        <v>1099</v>
      </c>
      <c r="E914" s="2"/>
      <c r="F914" t="s">
        <v>22</v>
      </c>
      <c r="G914" t="s">
        <v>1034</v>
      </c>
      <c r="H914" t="s">
        <v>1034</v>
      </c>
      <c r="I914"/>
    </row>
    <row r="915" spans="1:9">
      <c r="A915" t="s">
        <v>1089</v>
      </c>
      <c r="B915" s="1" t="str">
        <f>"20717377.2"</f>
        <v>20717377.2</v>
      </c>
      <c r="C915" t="s">
        <v>1098</v>
      </c>
      <c r="D915" t="s">
        <v>1099</v>
      </c>
      <c r="E915" s="2"/>
      <c r="F915" t="s">
        <v>22</v>
      </c>
      <c r="G915" t="s">
        <v>1034</v>
      </c>
      <c r="H915" t="s">
        <v>1088</v>
      </c>
      <c r="I915"/>
    </row>
    <row r="916" spans="1:9">
      <c r="A916" t="s">
        <v>1089</v>
      </c>
      <c r="B916" s="1" t="str">
        <f>"20106430"</f>
        <v>20106430</v>
      </c>
      <c r="C916" t="s">
        <v>1098</v>
      </c>
      <c r="D916" t="s">
        <v>1100</v>
      </c>
      <c r="E916" s="2"/>
      <c r="F916" t="s">
        <v>22</v>
      </c>
      <c r="G916" t="s">
        <v>1034</v>
      </c>
      <c r="H916" t="s">
        <v>1034</v>
      </c>
      <c r="I916"/>
    </row>
    <row r="917" spans="1:9">
      <c r="A917" t="s">
        <v>1089</v>
      </c>
      <c r="B917" s="1" t="str">
        <f>"20106430.2"</f>
        <v>20106430.2</v>
      </c>
      <c r="C917" t="s">
        <v>1098</v>
      </c>
      <c r="D917" t="s">
        <v>1100</v>
      </c>
      <c r="E917" s="2"/>
      <c r="F917" t="s">
        <v>22</v>
      </c>
      <c r="G917" t="s">
        <v>1034</v>
      </c>
      <c r="H917" t="s">
        <v>1088</v>
      </c>
      <c r="I917"/>
    </row>
    <row r="918" spans="1:9">
      <c r="A918" t="s">
        <v>1089</v>
      </c>
      <c r="B918" s="1" t="str">
        <f>"24210434"</f>
        <v>24210434</v>
      </c>
      <c r="C918" t="s">
        <v>1098</v>
      </c>
      <c r="D918" t="s">
        <v>1101</v>
      </c>
      <c r="E918" s="2"/>
      <c r="F918" t="s">
        <v>22</v>
      </c>
      <c r="G918" t="s">
        <v>1034</v>
      </c>
      <c r="H918" t="s">
        <v>1034</v>
      </c>
      <c r="I918"/>
    </row>
    <row r="919" spans="1:9">
      <c r="A919" t="s">
        <v>1089</v>
      </c>
      <c r="B919" s="1" t="str">
        <f>"24210434.2"</f>
        <v>24210434.2</v>
      </c>
      <c r="C919" t="s">
        <v>1098</v>
      </c>
      <c r="D919" t="s">
        <v>1101</v>
      </c>
      <c r="E919" s="2"/>
      <c r="F919" t="s">
        <v>22</v>
      </c>
      <c r="G919" t="s">
        <v>1034</v>
      </c>
      <c r="H919" t="s">
        <v>1088</v>
      </c>
      <c r="I919"/>
    </row>
    <row r="920" spans="1:9">
      <c r="A920" t="s">
        <v>1089</v>
      </c>
      <c r="B920" s="1" t="str">
        <f>"20172585"</f>
        <v>20172585</v>
      </c>
      <c r="C920" t="s">
        <v>209</v>
      </c>
      <c r="D920" t="s">
        <v>1102</v>
      </c>
      <c r="E920" s="2"/>
      <c r="F920" t="s">
        <v>22</v>
      </c>
      <c r="G920" t="s">
        <v>37</v>
      </c>
      <c r="H920" t="s">
        <v>37</v>
      </c>
      <c r="I920"/>
    </row>
    <row r="921" spans="1:9">
      <c r="A921" t="s">
        <v>1089</v>
      </c>
      <c r="B921" s="1" t="str">
        <f>"20172584"</f>
        <v>20172584</v>
      </c>
      <c r="C921" t="s">
        <v>209</v>
      </c>
      <c r="D921" t="s">
        <v>1103</v>
      </c>
      <c r="E921" s="2"/>
      <c r="F921" t="s">
        <v>22</v>
      </c>
      <c r="G921" t="s">
        <v>1034</v>
      </c>
      <c r="H921" t="s">
        <v>1034</v>
      </c>
      <c r="I921"/>
    </row>
    <row r="922" spans="1:9">
      <c r="A922" t="s">
        <v>1089</v>
      </c>
      <c r="B922" s="1" t="str">
        <f>"20087739"</f>
        <v>20087739</v>
      </c>
      <c r="C922" t="s">
        <v>1104</v>
      </c>
      <c r="D922" t="s">
        <v>1105</v>
      </c>
      <c r="E922" s="2"/>
      <c r="F922" t="s">
        <v>221</v>
      </c>
      <c r="G922" t="s">
        <v>1074</v>
      </c>
      <c r="H922" t="s">
        <v>1074</v>
      </c>
      <c r="I922"/>
    </row>
    <row r="923" spans="1:9">
      <c r="A923" t="s">
        <v>1089</v>
      </c>
      <c r="B923" s="1" t="str">
        <f>"20087739.2"</f>
        <v>20087739.2</v>
      </c>
      <c r="C923" t="s">
        <v>1104</v>
      </c>
      <c r="D923" t="s">
        <v>1105</v>
      </c>
      <c r="E923" s="2"/>
      <c r="F923" t="s">
        <v>221</v>
      </c>
      <c r="G923" t="s">
        <v>1074</v>
      </c>
      <c r="H923" t="s">
        <v>1106</v>
      </c>
      <c r="I923"/>
    </row>
    <row r="924" spans="1:9">
      <c r="A924" t="s">
        <v>1089</v>
      </c>
      <c r="B924" s="1" t="str">
        <f>"20065348"</f>
        <v>20065348</v>
      </c>
      <c r="C924" t="s">
        <v>225</v>
      </c>
      <c r="D924" t="s">
        <v>1107</v>
      </c>
      <c r="E924" s="2"/>
      <c r="F924" t="s">
        <v>22</v>
      </c>
      <c r="G924" t="s">
        <v>1034</v>
      </c>
      <c r="H924" t="s">
        <v>120</v>
      </c>
      <c r="I924"/>
    </row>
    <row r="925" spans="1:9">
      <c r="A925" t="s">
        <v>1089</v>
      </c>
      <c r="B925" s="1" t="str">
        <f>"23563210"</f>
        <v>23563210</v>
      </c>
      <c r="C925" t="s">
        <v>225</v>
      </c>
      <c r="D925" t="s">
        <v>1108</v>
      </c>
      <c r="E925" s="2"/>
      <c r="F925" t="s">
        <v>22</v>
      </c>
      <c r="G925" t="s">
        <v>1034</v>
      </c>
      <c r="H925" t="s">
        <v>1034</v>
      </c>
      <c r="I925"/>
    </row>
    <row r="926" spans="1:9">
      <c r="A926" t="s">
        <v>1089</v>
      </c>
      <c r="B926" s="1" t="str">
        <f>"20229608"</f>
        <v>20229608</v>
      </c>
      <c r="C926" t="s">
        <v>1109</v>
      </c>
      <c r="D926" t="s">
        <v>1110</v>
      </c>
      <c r="E926" s="2"/>
      <c r="F926" t="s">
        <v>90</v>
      </c>
      <c r="G926" t="s">
        <v>370</v>
      </c>
      <c r="H926" t="s">
        <v>370</v>
      </c>
      <c r="I926"/>
    </row>
    <row r="927" spans="1:9">
      <c r="A927" t="s">
        <v>1089</v>
      </c>
      <c r="B927" s="1" t="str">
        <f>"20229608.2"</f>
        <v>20229608.2</v>
      </c>
      <c r="C927" t="s">
        <v>1109</v>
      </c>
      <c r="D927" t="s">
        <v>1110</v>
      </c>
      <c r="E927" s="2"/>
      <c r="F927" t="s">
        <v>90</v>
      </c>
      <c r="G927" t="s">
        <v>370</v>
      </c>
      <c r="H927" t="s">
        <v>332</v>
      </c>
      <c r="I927"/>
    </row>
    <row r="928" spans="1:9">
      <c r="A928" t="s">
        <v>1089</v>
      </c>
      <c r="B928" s="1" t="str">
        <f>"20229609"</f>
        <v>20229609</v>
      </c>
      <c r="C928" t="s">
        <v>1109</v>
      </c>
      <c r="D928" t="s">
        <v>1111</v>
      </c>
      <c r="E928" s="2"/>
      <c r="F928" t="s">
        <v>90</v>
      </c>
      <c r="G928" t="s">
        <v>370</v>
      </c>
      <c r="H928" t="s">
        <v>370</v>
      </c>
      <c r="I928"/>
    </row>
    <row r="929" spans="1:9">
      <c r="A929" t="s">
        <v>1089</v>
      </c>
      <c r="B929" s="1" t="str">
        <f>"20229609.2"</f>
        <v>20229609.2</v>
      </c>
      <c r="C929" t="s">
        <v>1109</v>
      </c>
      <c r="D929" t="s">
        <v>1111</v>
      </c>
      <c r="E929" s="2"/>
      <c r="F929" t="s">
        <v>90</v>
      </c>
      <c r="G929" t="s">
        <v>370</v>
      </c>
      <c r="H929" t="s">
        <v>332</v>
      </c>
      <c r="I929"/>
    </row>
    <row r="930" spans="1:9">
      <c r="A930" t="s">
        <v>1089</v>
      </c>
      <c r="B930" s="1" t="str">
        <f>"20229604"</f>
        <v>20229604</v>
      </c>
      <c r="C930" t="s">
        <v>1109</v>
      </c>
      <c r="D930" t="s">
        <v>1112</v>
      </c>
      <c r="E930" s="2"/>
      <c r="F930" t="s">
        <v>90</v>
      </c>
      <c r="G930" t="s">
        <v>370</v>
      </c>
      <c r="H930" t="s">
        <v>370</v>
      </c>
      <c r="I930"/>
    </row>
    <row r="931" spans="1:9">
      <c r="A931" t="s">
        <v>1089</v>
      </c>
      <c r="B931" s="1" t="str">
        <f>"20229604.2"</f>
        <v>20229604.2</v>
      </c>
      <c r="C931" t="s">
        <v>1109</v>
      </c>
      <c r="D931" t="s">
        <v>1112</v>
      </c>
      <c r="E931" s="2"/>
      <c r="F931" t="s">
        <v>90</v>
      </c>
      <c r="G931" t="s">
        <v>370</v>
      </c>
      <c r="H931" t="s">
        <v>332</v>
      </c>
      <c r="I931"/>
    </row>
    <row r="932" spans="1:9">
      <c r="A932" t="s">
        <v>1089</v>
      </c>
      <c r="B932" s="1" t="str">
        <f>"20229605"</f>
        <v>20229605</v>
      </c>
      <c r="C932" t="s">
        <v>1109</v>
      </c>
      <c r="D932" t="s">
        <v>1113</v>
      </c>
      <c r="E932" s="2"/>
      <c r="F932" t="s">
        <v>90</v>
      </c>
      <c r="G932" t="s">
        <v>370</v>
      </c>
      <c r="H932" t="s">
        <v>370</v>
      </c>
      <c r="I932"/>
    </row>
    <row r="933" spans="1:9">
      <c r="A933" t="s">
        <v>1089</v>
      </c>
      <c r="B933" s="1" t="str">
        <f>"20229605.2"</f>
        <v>20229605.2</v>
      </c>
      <c r="C933" t="s">
        <v>1109</v>
      </c>
      <c r="D933" t="s">
        <v>1113</v>
      </c>
      <c r="E933" s="2"/>
      <c r="F933" t="s">
        <v>90</v>
      </c>
      <c r="G933" t="s">
        <v>370</v>
      </c>
      <c r="H933" t="s">
        <v>332</v>
      </c>
      <c r="I933"/>
    </row>
    <row r="934" spans="1:9">
      <c r="A934" t="s">
        <v>1089</v>
      </c>
      <c r="B934" s="1" t="str">
        <f>"20229607"</f>
        <v>20229607</v>
      </c>
      <c r="C934" t="s">
        <v>1109</v>
      </c>
      <c r="D934" t="s">
        <v>1114</v>
      </c>
      <c r="E934" s="2"/>
      <c r="F934" t="s">
        <v>90</v>
      </c>
      <c r="G934" t="s">
        <v>370</v>
      </c>
      <c r="H934" t="s">
        <v>370</v>
      </c>
      <c r="I934"/>
    </row>
    <row r="935" spans="1:9">
      <c r="A935" t="s">
        <v>1089</v>
      </c>
      <c r="B935" s="1" t="str">
        <f>"20229607.2"</f>
        <v>20229607.2</v>
      </c>
      <c r="C935" t="s">
        <v>1109</v>
      </c>
      <c r="D935" t="s">
        <v>1114</v>
      </c>
      <c r="E935" s="2"/>
      <c r="F935" t="s">
        <v>90</v>
      </c>
      <c r="G935" t="s">
        <v>370</v>
      </c>
      <c r="H935" t="s">
        <v>332</v>
      </c>
      <c r="I935"/>
    </row>
    <row r="936" spans="1:9">
      <c r="A936" t="s">
        <v>1089</v>
      </c>
      <c r="B936" s="1" t="str">
        <f>"20229603"</f>
        <v>20229603</v>
      </c>
      <c r="C936" t="s">
        <v>1109</v>
      </c>
      <c r="D936" t="s">
        <v>1115</v>
      </c>
      <c r="E936" s="2"/>
      <c r="F936" t="s">
        <v>90</v>
      </c>
      <c r="G936" t="s">
        <v>370</v>
      </c>
      <c r="H936" t="s">
        <v>370</v>
      </c>
      <c r="I936"/>
    </row>
    <row r="937" spans="1:9">
      <c r="A937" t="s">
        <v>1089</v>
      </c>
      <c r="B937" s="1" t="str">
        <f>"20229603.2"</f>
        <v>20229603.2</v>
      </c>
      <c r="C937" t="s">
        <v>1109</v>
      </c>
      <c r="D937" t="s">
        <v>1115</v>
      </c>
      <c r="E937" s="2"/>
      <c r="F937" t="s">
        <v>90</v>
      </c>
      <c r="G937" t="s">
        <v>370</v>
      </c>
      <c r="H937" t="s">
        <v>332</v>
      </c>
      <c r="I937"/>
    </row>
    <row r="938" spans="1:9">
      <c r="A938" t="s">
        <v>1089</v>
      </c>
      <c r="B938" s="1" t="str">
        <f>"20294014"</f>
        <v>20294014</v>
      </c>
      <c r="C938" t="s">
        <v>1109</v>
      </c>
      <c r="D938" t="s">
        <v>1116</v>
      </c>
      <c r="E938" s="2"/>
      <c r="F938" t="s">
        <v>90</v>
      </c>
      <c r="G938" t="s">
        <v>370</v>
      </c>
      <c r="H938" t="s">
        <v>370</v>
      </c>
      <c r="I938"/>
    </row>
    <row r="939" spans="1:9">
      <c r="A939" t="s">
        <v>1089</v>
      </c>
      <c r="B939" s="1" t="str">
        <f>"20294014.2"</f>
        <v>20294014.2</v>
      </c>
      <c r="C939" t="s">
        <v>1109</v>
      </c>
      <c r="D939" t="s">
        <v>1116</v>
      </c>
      <c r="E939" s="2"/>
      <c r="F939" t="s">
        <v>90</v>
      </c>
      <c r="G939" t="s">
        <v>370</v>
      </c>
      <c r="H939" t="s">
        <v>332</v>
      </c>
      <c r="I939"/>
    </row>
    <row r="940" spans="1:9">
      <c r="A940" t="s">
        <v>1089</v>
      </c>
      <c r="B940" s="1" t="str">
        <f>"20015145"</f>
        <v>20015145</v>
      </c>
      <c r="C940" t="s">
        <v>1109</v>
      </c>
      <c r="D940" t="s">
        <v>1117</v>
      </c>
      <c r="E940" s="2"/>
      <c r="F940" t="s">
        <v>22</v>
      </c>
      <c r="G940" t="s">
        <v>1034</v>
      </c>
      <c r="H940" t="s">
        <v>1034</v>
      </c>
      <c r="I940"/>
    </row>
    <row r="941" spans="1:9">
      <c r="A941" t="s">
        <v>1089</v>
      </c>
      <c r="B941" s="1" t="str">
        <f>"20015145.2"</f>
        <v>20015145.2</v>
      </c>
      <c r="C941" t="s">
        <v>1109</v>
      </c>
      <c r="D941" t="s">
        <v>1117</v>
      </c>
      <c r="E941" s="2"/>
      <c r="F941" t="s">
        <v>22</v>
      </c>
      <c r="G941" t="s">
        <v>1034</v>
      </c>
      <c r="H941" t="s">
        <v>1088</v>
      </c>
      <c r="I941"/>
    </row>
    <row r="942" spans="1:9">
      <c r="A942" t="s">
        <v>1089</v>
      </c>
      <c r="B942" s="1" t="str">
        <f>"20052911"</f>
        <v>20052911</v>
      </c>
      <c r="C942" t="s">
        <v>1109</v>
      </c>
      <c r="D942" t="s">
        <v>1118</v>
      </c>
      <c r="E942" s="2"/>
      <c r="F942" t="s">
        <v>22</v>
      </c>
      <c r="G942" t="s">
        <v>1034</v>
      </c>
      <c r="H942" t="s">
        <v>1034</v>
      </c>
      <c r="I942"/>
    </row>
    <row r="943" spans="1:9">
      <c r="A943" t="s">
        <v>1089</v>
      </c>
      <c r="B943" s="1" t="str">
        <f>"20052911.2"</f>
        <v>20052911.2</v>
      </c>
      <c r="C943" t="s">
        <v>1109</v>
      </c>
      <c r="D943" t="s">
        <v>1118</v>
      </c>
      <c r="E943" s="2"/>
      <c r="F943" t="s">
        <v>22</v>
      </c>
      <c r="G943" t="s">
        <v>1034</v>
      </c>
      <c r="H943" t="s">
        <v>1088</v>
      </c>
      <c r="I943"/>
    </row>
    <row r="944" spans="1:9">
      <c r="A944" t="s">
        <v>1119</v>
      </c>
      <c r="B944" s="1" t="str">
        <f>"12007499"</f>
        <v>12007499</v>
      </c>
      <c r="C944" t="s">
        <v>260</v>
      </c>
      <c r="D944" t="s">
        <v>1120</v>
      </c>
      <c r="E944" s="2"/>
      <c r="F944" t="s">
        <v>46</v>
      </c>
      <c r="G944" t="s">
        <v>37</v>
      </c>
      <c r="H944" t="s">
        <v>37</v>
      </c>
      <c r="I944"/>
    </row>
    <row r="945" spans="1:9">
      <c r="A945" t="s">
        <v>1119</v>
      </c>
      <c r="B945" s="1" t="str">
        <f>"20047161"</f>
        <v>20047161</v>
      </c>
      <c r="C945" t="s">
        <v>260</v>
      </c>
      <c r="D945" t="s">
        <v>1121</v>
      </c>
      <c r="E945" s="2"/>
      <c r="F945" t="s">
        <v>223</v>
      </c>
      <c r="G945" t="s">
        <v>1122</v>
      </c>
      <c r="H945" t="s">
        <v>1122</v>
      </c>
      <c r="I945"/>
    </row>
    <row r="946" spans="1:9">
      <c r="A946" t="s">
        <v>1119</v>
      </c>
      <c r="B946" s="1" t="str">
        <f>"12008701"</f>
        <v>12008701</v>
      </c>
      <c r="C946" t="s">
        <v>209</v>
      </c>
      <c r="D946" t="s">
        <v>1123</v>
      </c>
      <c r="E946" s="2"/>
      <c r="F946" t="s">
        <v>116</v>
      </c>
      <c r="G946" t="s">
        <v>37</v>
      </c>
      <c r="H946" t="s">
        <v>37</v>
      </c>
      <c r="I946"/>
    </row>
    <row r="947" spans="1:9">
      <c r="A947" t="s">
        <v>1119</v>
      </c>
      <c r="B947" s="1" t="str">
        <f>"12008704"</f>
        <v>12008704</v>
      </c>
      <c r="C947" t="s">
        <v>209</v>
      </c>
      <c r="D947" t="s">
        <v>1124</v>
      </c>
      <c r="E947" s="2"/>
      <c r="F947" t="s">
        <v>116</v>
      </c>
      <c r="G947" t="s">
        <v>37</v>
      </c>
      <c r="H947" t="s">
        <v>37</v>
      </c>
      <c r="I947"/>
    </row>
    <row r="948" spans="1:9">
      <c r="A948" t="s">
        <v>1119</v>
      </c>
      <c r="B948" s="1" t="str">
        <f>"20047160"</f>
        <v>20047160</v>
      </c>
      <c r="C948" t="s">
        <v>707</v>
      </c>
      <c r="D948" t="s">
        <v>1125</v>
      </c>
      <c r="E948" s="2"/>
      <c r="F948" t="s">
        <v>221</v>
      </c>
      <c r="G948" t="s">
        <v>1126</v>
      </c>
      <c r="H948" t="s">
        <v>1126</v>
      </c>
      <c r="I948"/>
    </row>
    <row r="949" spans="1:9">
      <c r="A949" t="s">
        <v>1119</v>
      </c>
      <c r="B949" s="1" t="str">
        <f>"20047160.2"</f>
        <v>20047160.2</v>
      </c>
      <c r="C949" t="s">
        <v>707</v>
      </c>
      <c r="D949" t="s">
        <v>1125</v>
      </c>
      <c r="E949" s="2"/>
      <c r="F949" t="s">
        <v>221</v>
      </c>
      <c r="G949" t="s">
        <v>1126</v>
      </c>
      <c r="H949" t="s">
        <v>1088</v>
      </c>
      <c r="I949"/>
    </row>
    <row r="950" spans="1:9">
      <c r="A950" t="s">
        <v>1119</v>
      </c>
      <c r="B950" s="1" t="str">
        <f>"20082864"</f>
        <v>20082864</v>
      </c>
      <c r="C950" t="s">
        <v>707</v>
      </c>
      <c r="D950" t="s">
        <v>1125</v>
      </c>
      <c r="E950" s="2"/>
      <c r="F950" t="s">
        <v>50</v>
      </c>
      <c r="G950" t="s">
        <v>37</v>
      </c>
      <c r="H950" t="s">
        <v>37</v>
      </c>
      <c r="I950"/>
    </row>
    <row r="951" spans="1:9">
      <c r="A951" t="s">
        <v>1119</v>
      </c>
      <c r="B951" s="1" t="str">
        <f>"20082864.2"</f>
        <v>20082864.2</v>
      </c>
      <c r="C951" t="s">
        <v>707</v>
      </c>
      <c r="D951" t="s">
        <v>1125</v>
      </c>
      <c r="E951" s="2"/>
      <c r="F951" t="s">
        <v>50</v>
      </c>
      <c r="G951" t="s">
        <v>37</v>
      </c>
      <c r="H951" t="s">
        <v>1088</v>
      </c>
      <c r="I951"/>
    </row>
    <row r="952" spans="1:9">
      <c r="A952" t="s">
        <v>1119</v>
      </c>
      <c r="B952" s="1" t="str">
        <f>"27800164"</f>
        <v>27800164</v>
      </c>
      <c r="C952" t="s">
        <v>707</v>
      </c>
      <c r="D952" t="s">
        <v>1127</v>
      </c>
      <c r="E952" s="2"/>
      <c r="F952" t="s">
        <v>1128</v>
      </c>
      <c r="G952" t="s">
        <v>80</v>
      </c>
      <c r="H952" t="s">
        <v>80</v>
      </c>
      <c r="I952"/>
    </row>
    <row r="953" spans="1:9">
      <c r="A953" t="s">
        <v>1119</v>
      </c>
      <c r="B953" s="1" t="str">
        <f>"27800165"</f>
        <v>27800165</v>
      </c>
      <c r="C953" t="s">
        <v>707</v>
      </c>
      <c r="D953" t="s">
        <v>1129</v>
      </c>
      <c r="E953" s="2"/>
      <c r="F953" t="s">
        <v>1130</v>
      </c>
      <c r="G953" t="s">
        <v>232</v>
      </c>
      <c r="H953" t="s">
        <v>232</v>
      </c>
      <c r="I953"/>
    </row>
    <row r="954" spans="1:9">
      <c r="A954" t="s">
        <v>1119</v>
      </c>
      <c r="B954" s="1" t="str">
        <f>"27800165.2"</f>
        <v>27800165.2</v>
      </c>
      <c r="C954" t="s">
        <v>707</v>
      </c>
      <c r="D954" t="s">
        <v>1129</v>
      </c>
      <c r="E954" s="2"/>
      <c r="F954" t="s">
        <v>1130</v>
      </c>
      <c r="G954" t="s">
        <v>232</v>
      </c>
      <c r="H954" t="s">
        <v>218</v>
      </c>
      <c r="I954"/>
    </row>
    <row r="955" spans="1:9">
      <c r="A955" t="s">
        <v>1119</v>
      </c>
      <c r="B955" s="1" t="str">
        <f>"20026493"</f>
        <v>20026493</v>
      </c>
      <c r="C955" t="s">
        <v>225</v>
      </c>
      <c r="D955" t="s">
        <v>1131</v>
      </c>
      <c r="E955" s="2"/>
      <c r="F955" t="s">
        <v>105</v>
      </c>
      <c r="G955" t="s">
        <v>120</v>
      </c>
      <c r="H955" t="s">
        <v>120</v>
      </c>
      <c r="I955"/>
    </row>
    <row r="956" spans="1:9">
      <c r="A956" t="s">
        <v>1119</v>
      </c>
      <c r="B956" s="1" t="str">
        <f>"27585939.2"</f>
        <v>27585939.2</v>
      </c>
      <c r="C956" t="s">
        <v>1132</v>
      </c>
      <c r="D956" t="s">
        <v>1133</v>
      </c>
      <c r="E956" s="2"/>
      <c r="F956" t="s">
        <v>1134</v>
      </c>
      <c r="G956" t="s">
        <v>38</v>
      </c>
      <c r="H956" t="s">
        <v>1088</v>
      </c>
      <c r="I956"/>
    </row>
    <row r="957" spans="1:9">
      <c r="A957" t="s">
        <v>1119</v>
      </c>
      <c r="B957" s="1" t="str">
        <f>"20058838"</f>
        <v>20058838</v>
      </c>
      <c r="C957" t="s">
        <v>1072</v>
      </c>
      <c r="D957" t="s">
        <v>1135</v>
      </c>
      <c r="E957" s="2"/>
      <c r="F957" t="s">
        <v>105</v>
      </c>
      <c r="G957" t="s">
        <v>1074</v>
      </c>
      <c r="H957" t="s">
        <v>1091</v>
      </c>
      <c r="I957"/>
    </row>
    <row r="958" spans="1:9">
      <c r="A958" t="s">
        <v>1136</v>
      </c>
      <c r="B958" s="1" t="str">
        <f>"20084493"</f>
        <v>20084493</v>
      </c>
      <c r="D958" t="s">
        <v>1137</v>
      </c>
      <c r="E958" s="2"/>
      <c r="F958" t="s">
        <v>105</v>
      </c>
      <c r="G958" t="s">
        <v>37</v>
      </c>
      <c r="H958" t="s">
        <v>37</v>
      </c>
      <c r="I958"/>
    </row>
    <row r="959" spans="1:9">
      <c r="A959" t="s">
        <v>1136</v>
      </c>
      <c r="B959" s="1" t="str">
        <f>"20182111"</f>
        <v>20182111</v>
      </c>
      <c r="C959" t="s">
        <v>1138</v>
      </c>
      <c r="D959" t="s">
        <v>1139</v>
      </c>
      <c r="E959" s="2"/>
      <c r="F959" t="s">
        <v>1140</v>
      </c>
      <c r="G959" t="s">
        <v>1141</v>
      </c>
      <c r="H959" t="s">
        <v>1141</v>
      </c>
      <c r="I959"/>
    </row>
    <row r="960" spans="1:9">
      <c r="A960" t="s">
        <v>1136</v>
      </c>
      <c r="B960" s="1" t="str">
        <f>"20182118"</f>
        <v>20182118</v>
      </c>
      <c r="C960" t="s">
        <v>989</v>
      </c>
      <c r="D960" t="s">
        <v>1142</v>
      </c>
      <c r="E960" s="2"/>
      <c r="F960" t="s">
        <v>191</v>
      </c>
      <c r="G960" t="s">
        <v>37</v>
      </c>
      <c r="H960" t="s">
        <v>37</v>
      </c>
      <c r="I960"/>
    </row>
    <row r="961" spans="1:9">
      <c r="A961" t="s">
        <v>1136</v>
      </c>
      <c r="B961" s="1" t="str">
        <f>"20016485"</f>
        <v>20016485</v>
      </c>
      <c r="C961" t="s">
        <v>225</v>
      </c>
      <c r="D961" t="s">
        <v>1143</v>
      </c>
      <c r="E961" s="2"/>
      <c r="F961" t="s">
        <v>959</v>
      </c>
      <c r="G961" t="s">
        <v>1144</v>
      </c>
      <c r="H961" t="s">
        <v>1144</v>
      </c>
      <c r="I961"/>
    </row>
    <row r="962" spans="1:9">
      <c r="A962" t="s">
        <v>1136</v>
      </c>
      <c r="B962" s="1" t="str">
        <f>"20054988"</f>
        <v>20054988</v>
      </c>
      <c r="C962" t="s">
        <v>225</v>
      </c>
      <c r="D962" t="s">
        <v>1145</v>
      </c>
      <c r="E962" s="2"/>
      <c r="F962"/>
      <c r="G962" t="s">
        <v>177</v>
      </c>
      <c r="H962" t="s">
        <v>177</v>
      </c>
      <c r="I962"/>
    </row>
    <row r="963" spans="1:9">
      <c r="A963" t="s">
        <v>1136</v>
      </c>
      <c r="B963" s="1" t="str">
        <f>"20073237"</f>
        <v>20073237</v>
      </c>
      <c r="C963" t="s">
        <v>1146</v>
      </c>
      <c r="D963" t="s">
        <v>1147</v>
      </c>
      <c r="E963" s="2"/>
      <c r="F963" t="s">
        <v>1148</v>
      </c>
      <c r="G963" t="s">
        <v>1077</v>
      </c>
      <c r="H963" t="s">
        <v>1077</v>
      </c>
      <c r="I963"/>
    </row>
    <row r="964" spans="1:9">
      <c r="A964" t="s">
        <v>1136</v>
      </c>
      <c r="B964" s="1" t="str">
        <f>"20080341"</f>
        <v>20080341</v>
      </c>
      <c r="C964" t="s">
        <v>1146</v>
      </c>
      <c r="D964" t="s">
        <v>1149</v>
      </c>
      <c r="E964" s="2"/>
      <c r="F964" t="s">
        <v>79</v>
      </c>
      <c r="G964" t="s">
        <v>695</v>
      </c>
      <c r="H964" t="s">
        <v>695</v>
      </c>
      <c r="I964"/>
    </row>
    <row r="965" spans="1:9">
      <c r="A965" t="s">
        <v>1136</v>
      </c>
      <c r="B965" s="1" t="str">
        <f>"20080341.2"</f>
        <v>20080341.2</v>
      </c>
      <c r="C965" t="s">
        <v>1146</v>
      </c>
      <c r="D965" t="s">
        <v>1149</v>
      </c>
      <c r="E965" s="2"/>
      <c r="F965" t="s">
        <v>79</v>
      </c>
      <c r="G965" t="s">
        <v>695</v>
      </c>
      <c r="H965" t="s">
        <v>517</v>
      </c>
      <c r="I965"/>
    </row>
    <row r="966" spans="1:9">
      <c r="A966" t="s">
        <v>1136</v>
      </c>
      <c r="B966" s="1" t="str">
        <f>"20041113"</f>
        <v>20041113</v>
      </c>
      <c r="C966" t="s">
        <v>1146</v>
      </c>
      <c r="D966" t="s">
        <v>1150</v>
      </c>
      <c r="E966" s="2"/>
      <c r="F966"/>
      <c r="G966" t="s">
        <v>156</v>
      </c>
      <c r="H966" t="s">
        <v>156</v>
      </c>
      <c r="I966"/>
    </row>
    <row r="967" spans="1:9">
      <c r="A967" t="s">
        <v>1136</v>
      </c>
      <c r="B967" s="1" t="str">
        <f>"20041113.2"</f>
        <v>20041113.2</v>
      </c>
      <c r="C967" t="s">
        <v>1146</v>
      </c>
      <c r="D967" t="s">
        <v>1150</v>
      </c>
      <c r="E967" s="2"/>
      <c r="F967"/>
      <c r="G967" t="s">
        <v>156</v>
      </c>
      <c r="H967" t="s">
        <v>383</v>
      </c>
      <c r="I967"/>
    </row>
    <row r="968" spans="1:9">
      <c r="A968" t="s">
        <v>1136</v>
      </c>
      <c r="B968" s="1" t="str">
        <f>"12009608"</f>
        <v>12009608</v>
      </c>
      <c r="C968" t="s">
        <v>1146</v>
      </c>
      <c r="D968" t="s">
        <v>1151</v>
      </c>
      <c r="E968" s="2"/>
      <c r="F968" t="s">
        <v>22</v>
      </c>
      <c r="G968" t="s">
        <v>122</v>
      </c>
      <c r="H968" t="s">
        <v>383</v>
      </c>
      <c r="I968"/>
    </row>
    <row r="969" spans="1:9">
      <c r="A969" t="s">
        <v>1136</v>
      </c>
      <c r="B969" s="1" t="str">
        <f>"20114701"</f>
        <v>20114701</v>
      </c>
      <c r="C969" t="s">
        <v>1146</v>
      </c>
      <c r="D969" t="s">
        <v>1152</v>
      </c>
      <c r="E969" s="2"/>
      <c r="F969"/>
      <c r="G969" t="s">
        <v>988</v>
      </c>
      <c r="H969" t="s">
        <v>988</v>
      </c>
      <c r="I969"/>
    </row>
    <row r="970" spans="1:9">
      <c r="A970" t="s">
        <v>1136</v>
      </c>
      <c r="B970" s="1" t="str">
        <f>"20114701.2"</f>
        <v>20114701.2</v>
      </c>
      <c r="C970" t="s">
        <v>1146</v>
      </c>
      <c r="D970" t="s">
        <v>1152</v>
      </c>
      <c r="E970" s="2"/>
      <c r="F970"/>
      <c r="G970" t="s">
        <v>988</v>
      </c>
      <c r="H970" t="s">
        <v>517</v>
      </c>
      <c r="I970"/>
    </row>
    <row r="971" spans="1:9">
      <c r="A971" t="s">
        <v>1136</v>
      </c>
      <c r="B971" s="1" t="str">
        <f>"20055295"</f>
        <v>20055295</v>
      </c>
      <c r="C971" t="s">
        <v>1146</v>
      </c>
      <c r="D971" t="s">
        <v>1153</v>
      </c>
      <c r="E971" s="2"/>
      <c r="F971"/>
      <c r="G971" t="s">
        <v>299</v>
      </c>
      <c r="H971" t="s">
        <v>299</v>
      </c>
      <c r="I971"/>
    </row>
    <row r="972" spans="1:9">
      <c r="A972" t="s">
        <v>1136</v>
      </c>
      <c r="B972" s="1" t="str">
        <f>"20055295.2"</f>
        <v>20055295.2</v>
      </c>
      <c r="C972" t="s">
        <v>1146</v>
      </c>
      <c r="D972" t="s">
        <v>1153</v>
      </c>
      <c r="E972" s="2"/>
      <c r="F972"/>
      <c r="G972" t="s">
        <v>299</v>
      </c>
      <c r="H972" t="s">
        <v>218</v>
      </c>
      <c r="I972"/>
    </row>
    <row r="973" spans="1:9">
      <c r="A973" t="s">
        <v>1136</v>
      </c>
      <c r="B973" s="1" t="str">
        <f>"20826956"</f>
        <v>20826956</v>
      </c>
      <c r="C973" t="s">
        <v>1146</v>
      </c>
      <c r="D973" t="s">
        <v>1154</v>
      </c>
      <c r="E973" s="2"/>
      <c r="F973"/>
      <c r="G973" t="s">
        <v>620</v>
      </c>
      <c r="H973" t="s">
        <v>620</v>
      </c>
      <c r="I973"/>
    </row>
    <row r="974" spans="1:9">
      <c r="A974" t="s">
        <v>1136</v>
      </c>
      <c r="B974" s="1" t="str">
        <f>"20826956.2"</f>
        <v>20826956.2</v>
      </c>
      <c r="C974" t="s">
        <v>1146</v>
      </c>
      <c r="D974" t="s">
        <v>1154</v>
      </c>
      <c r="E974" s="2"/>
      <c r="F974"/>
      <c r="G974" t="s">
        <v>620</v>
      </c>
      <c r="H974" t="s">
        <v>517</v>
      </c>
      <c r="I974"/>
    </row>
    <row r="975" spans="1:9">
      <c r="A975" t="s">
        <v>1136</v>
      </c>
      <c r="B975" s="1" t="str">
        <f>"20215903"</f>
        <v>20215903</v>
      </c>
      <c r="C975" t="s">
        <v>1146</v>
      </c>
      <c r="D975" t="s">
        <v>1155</v>
      </c>
      <c r="E975" s="2"/>
      <c r="F975"/>
      <c r="G975" t="s">
        <v>516</v>
      </c>
      <c r="H975" t="s">
        <v>516</v>
      </c>
      <c r="I975"/>
    </row>
    <row r="976" spans="1:9">
      <c r="A976" t="s">
        <v>1136</v>
      </c>
      <c r="B976" s="1" t="str">
        <f>"20215903.2"</f>
        <v>20215903.2</v>
      </c>
      <c r="C976" t="s">
        <v>1146</v>
      </c>
      <c r="D976" t="s">
        <v>1155</v>
      </c>
      <c r="E976" s="2"/>
      <c r="F976"/>
      <c r="G976" t="s">
        <v>516</v>
      </c>
      <c r="H976" t="s">
        <v>517</v>
      </c>
      <c r="I976"/>
    </row>
    <row r="977" spans="1:9">
      <c r="A977" t="s">
        <v>1136</v>
      </c>
      <c r="B977" s="1" t="str">
        <f>"20110598"</f>
        <v>20110598</v>
      </c>
      <c r="C977" t="s">
        <v>1146</v>
      </c>
      <c r="D977" t="s">
        <v>1156</v>
      </c>
      <c r="E977" s="2"/>
      <c r="F977"/>
      <c r="G977" t="s">
        <v>516</v>
      </c>
      <c r="H977" t="s">
        <v>516</v>
      </c>
      <c r="I977"/>
    </row>
    <row r="978" spans="1:9">
      <c r="A978" t="s">
        <v>1136</v>
      </c>
      <c r="B978" s="1" t="str">
        <f>"20110598.2"</f>
        <v>20110598.2</v>
      </c>
      <c r="C978" t="s">
        <v>1146</v>
      </c>
      <c r="D978" t="s">
        <v>1156</v>
      </c>
      <c r="E978" s="2"/>
      <c r="F978"/>
      <c r="G978" t="s">
        <v>516</v>
      </c>
      <c r="H978" t="s">
        <v>517</v>
      </c>
      <c r="I978"/>
    </row>
    <row r="979" spans="1:9">
      <c r="A979" t="s">
        <v>1136</v>
      </c>
      <c r="B979" s="1" t="str">
        <f>"20110529"</f>
        <v>20110529</v>
      </c>
      <c r="C979" t="s">
        <v>1146</v>
      </c>
      <c r="D979" t="s">
        <v>1157</v>
      </c>
      <c r="E979" s="2"/>
      <c r="F979"/>
      <c r="G979" t="s">
        <v>516</v>
      </c>
      <c r="H979" t="s">
        <v>516</v>
      </c>
      <c r="I979"/>
    </row>
    <row r="980" spans="1:9">
      <c r="A980" t="s">
        <v>1136</v>
      </c>
      <c r="B980" s="1" t="str">
        <f>"20110529.2"</f>
        <v>20110529.2</v>
      </c>
      <c r="C980" t="s">
        <v>1146</v>
      </c>
      <c r="D980" t="s">
        <v>1157</v>
      </c>
      <c r="E980" s="2"/>
      <c r="F980"/>
      <c r="G980" t="s">
        <v>516</v>
      </c>
      <c r="H980" t="s">
        <v>517</v>
      </c>
      <c r="I980"/>
    </row>
    <row r="981" spans="1:9">
      <c r="A981" t="s">
        <v>1136</v>
      </c>
      <c r="B981" s="1" t="str">
        <f>"20105846"</f>
        <v>20105846</v>
      </c>
      <c r="C981" t="s">
        <v>1146</v>
      </c>
      <c r="D981" t="s">
        <v>1158</v>
      </c>
      <c r="E981" s="2"/>
      <c r="F981"/>
      <c r="G981" t="s">
        <v>1159</v>
      </c>
      <c r="H981" t="s">
        <v>1159</v>
      </c>
      <c r="I981"/>
    </row>
    <row r="982" spans="1:9">
      <c r="A982" t="s">
        <v>1136</v>
      </c>
      <c r="B982" s="1" t="str">
        <f>"20105846.2"</f>
        <v>20105846.2</v>
      </c>
      <c r="C982" t="s">
        <v>1146</v>
      </c>
      <c r="D982" t="s">
        <v>1158</v>
      </c>
      <c r="E982" s="2"/>
      <c r="F982"/>
      <c r="G982" t="s">
        <v>1159</v>
      </c>
      <c r="H982" t="s">
        <v>218</v>
      </c>
      <c r="I982"/>
    </row>
    <row r="983" spans="1:9">
      <c r="A983" t="s">
        <v>1136</v>
      </c>
      <c r="B983" s="1" t="str">
        <f>"20028404"</f>
        <v>20028404</v>
      </c>
      <c r="C983" t="s">
        <v>1146</v>
      </c>
      <c r="D983" t="s">
        <v>1160</v>
      </c>
      <c r="E983" s="2"/>
      <c r="F983"/>
      <c r="G983" t="s">
        <v>695</v>
      </c>
      <c r="H983" t="s">
        <v>1161</v>
      </c>
      <c r="I983"/>
    </row>
    <row r="984" spans="1:9">
      <c r="A984" t="s">
        <v>1136</v>
      </c>
      <c r="B984" s="1" t="str">
        <f>"20422799"</f>
        <v>20422799</v>
      </c>
      <c r="C984" t="s">
        <v>1146</v>
      </c>
      <c r="D984" t="s">
        <v>1162</v>
      </c>
      <c r="E984" s="2"/>
      <c r="F984" t="s">
        <v>33</v>
      </c>
      <c r="G984" t="s">
        <v>988</v>
      </c>
      <c r="H984" t="s">
        <v>988</v>
      </c>
      <c r="I984"/>
    </row>
    <row r="985" spans="1:9">
      <c r="A985" t="s">
        <v>1136</v>
      </c>
      <c r="B985" s="1" t="str">
        <f>"20422799.2"</f>
        <v>20422799.2</v>
      </c>
      <c r="C985" t="s">
        <v>1146</v>
      </c>
      <c r="D985" t="s">
        <v>1162</v>
      </c>
      <c r="E985" s="2"/>
      <c r="F985" t="s">
        <v>33</v>
      </c>
      <c r="G985" t="s">
        <v>988</v>
      </c>
      <c r="H985" t="s">
        <v>517</v>
      </c>
      <c r="I985"/>
    </row>
    <row r="986" spans="1:9">
      <c r="A986" t="s">
        <v>1136</v>
      </c>
      <c r="B986" s="1" t="str">
        <f>"20030278"</f>
        <v>20030278</v>
      </c>
      <c r="C986" t="s">
        <v>1146</v>
      </c>
      <c r="D986" t="s">
        <v>1163</v>
      </c>
      <c r="E986" s="2"/>
      <c r="F986" t="s">
        <v>1164</v>
      </c>
      <c r="G986" t="s">
        <v>1165</v>
      </c>
      <c r="H986" t="s">
        <v>1165</v>
      </c>
      <c r="I986"/>
    </row>
    <row r="987" spans="1:9">
      <c r="A987" t="s">
        <v>1136</v>
      </c>
      <c r="B987" s="1" t="str">
        <f>"20030278.2"</f>
        <v>20030278.2</v>
      </c>
      <c r="C987" t="s">
        <v>1146</v>
      </c>
      <c r="D987" t="s">
        <v>1163</v>
      </c>
      <c r="E987" s="2"/>
      <c r="F987" t="s">
        <v>1164</v>
      </c>
      <c r="G987" t="s">
        <v>1165</v>
      </c>
      <c r="H987" t="s">
        <v>517</v>
      </c>
      <c r="I987"/>
    </row>
    <row r="988" spans="1:9">
      <c r="A988" t="s">
        <v>1136</v>
      </c>
      <c r="B988" s="1" t="str">
        <f>"20094577"</f>
        <v>20094577</v>
      </c>
      <c r="C988" t="s">
        <v>1146</v>
      </c>
      <c r="D988" t="s">
        <v>1166</v>
      </c>
      <c r="E988" s="2"/>
      <c r="F988"/>
      <c r="G988" t="s">
        <v>610</v>
      </c>
      <c r="H988" t="s">
        <v>610</v>
      </c>
      <c r="I988"/>
    </row>
    <row r="989" spans="1:9">
      <c r="A989" t="s">
        <v>1136</v>
      </c>
      <c r="B989" s="1" t="str">
        <f>"20094577.2"</f>
        <v>20094577.2</v>
      </c>
      <c r="C989" t="s">
        <v>1146</v>
      </c>
      <c r="D989" t="s">
        <v>1166</v>
      </c>
      <c r="E989" s="2"/>
      <c r="F989"/>
      <c r="G989" t="s">
        <v>618</v>
      </c>
      <c r="H989" t="s">
        <v>517</v>
      </c>
      <c r="I989"/>
    </row>
    <row r="990" spans="1:9">
      <c r="A990" t="s">
        <v>1136</v>
      </c>
      <c r="B990" s="1" t="str">
        <f>"20855864"</f>
        <v>20855864</v>
      </c>
      <c r="C990" t="s">
        <v>1146</v>
      </c>
      <c r="D990" t="s">
        <v>1167</v>
      </c>
      <c r="E990" s="2"/>
      <c r="F990"/>
      <c r="G990" t="s">
        <v>618</v>
      </c>
      <c r="H990" t="s">
        <v>618</v>
      </c>
      <c r="I990"/>
    </row>
    <row r="991" spans="1:9">
      <c r="A991" t="s">
        <v>1136</v>
      </c>
      <c r="B991" s="1" t="str">
        <f>"20855864.2"</f>
        <v>20855864.2</v>
      </c>
      <c r="C991" t="s">
        <v>1146</v>
      </c>
      <c r="D991" t="s">
        <v>1167</v>
      </c>
      <c r="E991" s="2"/>
      <c r="F991"/>
      <c r="G991" t="s">
        <v>618</v>
      </c>
      <c r="H991" t="s">
        <v>517</v>
      </c>
      <c r="I991"/>
    </row>
    <row r="992" spans="1:9">
      <c r="A992" t="s">
        <v>1136</v>
      </c>
      <c r="B992" s="1" t="str">
        <f>"20094508"</f>
        <v>20094508</v>
      </c>
      <c r="C992" t="s">
        <v>1146</v>
      </c>
      <c r="D992" t="s">
        <v>1168</v>
      </c>
      <c r="E992" s="2"/>
      <c r="F992"/>
      <c r="G992" t="s">
        <v>913</v>
      </c>
      <c r="H992" t="s">
        <v>913</v>
      </c>
      <c r="I992"/>
    </row>
    <row r="993" spans="1:9">
      <c r="A993" t="s">
        <v>1136</v>
      </c>
      <c r="B993" s="1" t="str">
        <f>"20094508.2"</f>
        <v>20094508.2</v>
      </c>
      <c r="C993" t="s">
        <v>1146</v>
      </c>
      <c r="D993" t="s">
        <v>1168</v>
      </c>
      <c r="E993" s="2"/>
      <c r="F993"/>
      <c r="G993" t="s">
        <v>913</v>
      </c>
      <c r="H993" t="s">
        <v>517</v>
      </c>
      <c r="I993"/>
    </row>
    <row r="994" spans="1:9">
      <c r="A994" t="s">
        <v>1136</v>
      </c>
      <c r="B994" s="1" t="str">
        <f>"20098193"</f>
        <v>20098193</v>
      </c>
      <c r="C994" t="s">
        <v>1146</v>
      </c>
      <c r="D994" t="s">
        <v>1169</v>
      </c>
      <c r="E994" s="2"/>
      <c r="F994" t="s">
        <v>671</v>
      </c>
      <c r="G994" t="s">
        <v>614</v>
      </c>
      <c r="H994" t="s">
        <v>614</v>
      </c>
      <c r="I994"/>
    </row>
    <row r="995" spans="1:9">
      <c r="A995" t="s">
        <v>1136</v>
      </c>
      <c r="B995" s="1" t="str">
        <f>"20098193.2"</f>
        <v>20098193.2</v>
      </c>
      <c r="C995" t="s">
        <v>1146</v>
      </c>
      <c r="D995" t="s">
        <v>1169</v>
      </c>
      <c r="E995" s="2"/>
      <c r="F995" t="s">
        <v>671</v>
      </c>
      <c r="G995" t="s">
        <v>614</v>
      </c>
      <c r="H995" t="s">
        <v>517</v>
      </c>
      <c r="I995"/>
    </row>
    <row r="996" spans="1:9">
      <c r="A996" t="s">
        <v>1136</v>
      </c>
      <c r="B996" s="1" t="str">
        <f>"20098209"</f>
        <v>20098209</v>
      </c>
      <c r="C996" t="s">
        <v>1146</v>
      </c>
      <c r="D996" t="s">
        <v>1170</v>
      </c>
      <c r="E996" s="2"/>
      <c r="F996" t="s">
        <v>1171</v>
      </c>
      <c r="G996" t="s">
        <v>616</v>
      </c>
      <c r="H996" t="s">
        <v>616</v>
      </c>
      <c r="I996"/>
    </row>
    <row r="997" spans="1:9">
      <c r="A997" t="s">
        <v>1136</v>
      </c>
      <c r="B997" s="1" t="str">
        <f>"20098209.2"</f>
        <v>20098209.2</v>
      </c>
      <c r="C997" t="s">
        <v>1146</v>
      </c>
      <c r="D997" t="s">
        <v>1170</v>
      </c>
      <c r="E997" s="2"/>
      <c r="F997" t="s">
        <v>1171</v>
      </c>
      <c r="G997" t="s">
        <v>616</v>
      </c>
      <c r="H997" t="s">
        <v>517</v>
      </c>
      <c r="I997"/>
    </row>
    <row r="998" spans="1:9">
      <c r="A998" t="s">
        <v>1136</v>
      </c>
      <c r="B998" s="1" t="str">
        <f>"20010546"</f>
        <v>20010546</v>
      </c>
      <c r="C998" t="s">
        <v>1146</v>
      </c>
      <c r="D998" t="s">
        <v>1172</v>
      </c>
      <c r="E998" s="2"/>
      <c r="F998"/>
      <c r="G998" t="s">
        <v>516</v>
      </c>
      <c r="H998" t="s">
        <v>516</v>
      </c>
      <c r="I998"/>
    </row>
    <row r="999" spans="1:9">
      <c r="A999" t="s">
        <v>1136</v>
      </c>
      <c r="B999" s="1" t="str">
        <f>"20010546.2"</f>
        <v>20010546.2</v>
      </c>
      <c r="C999" t="s">
        <v>1146</v>
      </c>
      <c r="D999" t="s">
        <v>1172</v>
      </c>
      <c r="E999" s="2"/>
      <c r="F999"/>
      <c r="G999" t="s">
        <v>516</v>
      </c>
      <c r="H999" t="s">
        <v>517</v>
      </c>
      <c r="I999"/>
    </row>
    <row r="1000" spans="1:9">
      <c r="A1000" t="s">
        <v>1136</v>
      </c>
      <c r="B1000" s="1" t="str">
        <f>"20210694"</f>
        <v>20210694</v>
      </c>
      <c r="C1000" t="s">
        <v>1146</v>
      </c>
      <c r="D1000" t="s">
        <v>1173</v>
      </c>
      <c r="E1000" s="2"/>
      <c r="F1000"/>
      <c r="G1000" t="s">
        <v>516</v>
      </c>
      <c r="H1000" t="s">
        <v>516</v>
      </c>
      <c r="I1000"/>
    </row>
    <row r="1001" spans="1:9">
      <c r="A1001" t="s">
        <v>1136</v>
      </c>
      <c r="B1001" s="1" t="str">
        <f>"20210694.2"</f>
        <v>20210694.2</v>
      </c>
      <c r="C1001" t="s">
        <v>1146</v>
      </c>
      <c r="D1001" t="s">
        <v>1173</v>
      </c>
      <c r="E1001" s="2"/>
      <c r="F1001"/>
      <c r="G1001" t="s">
        <v>516</v>
      </c>
      <c r="H1001" t="s">
        <v>517</v>
      </c>
      <c r="I1001"/>
    </row>
    <row r="1002" spans="1:9">
      <c r="A1002" t="s">
        <v>1136</v>
      </c>
      <c r="B1002" s="1" t="str">
        <f>"20110901"</f>
        <v>20110901</v>
      </c>
      <c r="C1002" t="s">
        <v>1146</v>
      </c>
      <c r="D1002" t="s">
        <v>1174</v>
      </c>
      <c r="E1002" s="2"/>
      <c r="F1002"/>
      <c r="G1002" t="s">
        <v>516</v>
      </c>
      <c r="H1002" t="s">
        <v>516</v>
      </c>
      <c r="I1002"/>
    </row>
    <row r="1003" spans="1:9">
      <c r="A1003" t="s">
        <v>1136</v>
      </c>
      <c r="B1003" s="1" t="str">
        <f>"20110901.2"</f>
        <v>20110901.2</v>
      </c>
      <c r="C1003" t="s">
        <v>1146</v>
      </c>
      <c r="D1003" t="s">
        <v>1174</v>
      </c>
      <c r="E1003" s="2"/>
      <c r="F1003"/>
      <c r="G1003" t="s">
        <v>516</v>
      </c>
      <c r="H1003" t="s">
        <v>517</v>
      </c>
      <c r="I1003"/>
    </row>
    <row r="1004" spans="1:9">
      <c r="A1004" t="s">
        <v>1136</v>
      </c>
      <c r="B1004" s="1" t="str">
        <f>"20259655"</f>
        <v>20259655</v>
      </c>
      <c r="C1004" t="s">
        <v>1146</v>
      </c>
      <c r="D1004" t="s">
        <v>1175</v>
      </c>
      <c r="E1004" s="2"/>
      <c r="F1004"/>
      <c r="G1004" t="s">
        <v>618</v>
      </c>
      <c r="H1004" t="s">
        <v>618</v>
      </c>
      <c r="I1004"/>
    </row>
    <row r="1005" spans="1:9">
      <c r="A1005" t="s">
        <v>1136</v>
      </c>
      <c r="B1005" s="1" t="str">
        <f>"20259655.2"</f>
        <v>20259655.2</v>
      </c>
      <c r="C1005" t="s">
        <v>1146</v>
      </c>
      <c r="D1005" t="s">
        <v>1175</v>
      </c>
      <c r="E1005" s="2"/>
      <c r="F1005"/>
      <c r="G1005" t="s">
        <v>618</v>
      </c>
      <c r="H1005" t="s">
        <v>517</v>
      </c>
      <c r="I1005"/>
    </row>
    <row r="1006" spans="1:9">
      <c r="A1006" t="s">
        <v>1136</v>
      </c>
      <c r="B1006" s="1" t="str">
        <f>"24854230"</f>
        <v>24854230</v>
      </c>
      <c r="C1006" t="s">
        <v>1146</v>
      </c>
      <c r="D1006" t="s">
        <v>1176</v>
      </c>
      <c r="E1006" s="2"/>
      <c r="F1006"/>
      <c r="G1006" t="s">
        <v>613</v>
      </c>
      <c r="H1006" t="s">
        <v>613</v>
      </c>
      <c r="I1006"/>
    </row>
    <row r="1007" spans="1:9">
      <c r="A1007" t="s">
        <v>1136</v>
      </c>
      <c r="B1007" s="1" t="str">
        <f>"24854230.2"</f>
        <v>24854230.2</v>
      </c>
      <c r="C1007" t="s">
        <v>1146</v>
      </c>
      <c r="D1007" t="s">
        <v>1176</v>
      </c>
      <c r="E1007" s="2"/>
      <c r="F1007"/>
      <c r="G1007" t="s">
        <v>613</v>
      </c>
      <c r="H1007" t="s">
        <v>517</v>
      </c>
      <c r="I1007"/>
    </row>
    <row r="1008" spans="1:9">
      <c r="A1008" t="s">
        <v>1136</v>
      </c>
      <c r="B1008" s="1" t="str">
        <f>"20516802"</f>
        <v>20516802</v>
      </c>
      <c r="C1008" t="s">
        <v>1146</v>
      </c>
      <c r="D1008" t="s">
        <v>1177</v>
      </c>
      <c r="E1008" s="2"/>
      <c r="F1008" t="s">
        <v>1128</v>
      </c>
      <c r="G1008" t="s">
        <v>516</v>
      </c>
      <c r="H1008" t="s">
        <v>516</v>
      </c>
      <c r="I1008"/>
    </row>
    <row r="1009" spans="1:9">
      <c r="A1009" t="s">
        <v>1136</v>
      </c>
      <c r="B1009" s="1" t="str">
        <f>"20516802.2"</f>
        <v>20516802.2</v>
      </c>
      <c r="C1009" t="s">
        <v>1146</v>
      </c>
      <c r="D1009" t="s">
        <v>1177</v>
      </c>
      <c r="E1009" s="2"/>
      <c r="F1009" t="s">
        <v>1128</v>
      </c>
      <c r="G1009" t="s">
        <v>516</v>
      </c>
      <c r="H1009" t="s">
        <v>517</v>
      </c>
      <c r="I1009"/>
    </row>
    <row r="1010" spans="1:9">
      <c r="A1010" t="s">
        <v>1136</v>
      </c>
      <c r="B1010" s="1" t="str">
        <f>"24853879"</f>
        <v>24853879</v>
      </c>
      <c r="C1010" t="s">
        <v>1146</v>
      </c>
      <c r="D1010" t="s">
        <v>1178</v>
      </c>
      <c r="E1010" s="2"/>
      <c r="F1010"/>
      <c r="G1010" t="s">
        <v>613</v>
      </c>
      <c r="H1010" t="s">
        <v>613</v>
      </c>
      <c r="I1010"/>
    </row>
    <row r="1011" spans="1:9">
      <c r="A1011" t="s">
        <v>1136</v>
      </c>
      <c r="B1011" s="1" t="str">
        <f>"24853879.2"</f>
        <v>24853879.2</v>
      </c>
      <c r="C1011" t="s">
        <v>1146</v>
      </c>
      <c r="D1011" t="s">
        <v>1178</v>
      </c>
      <c r="E1011" s="2"/>
      <c r="F1011"/>
      <c r="G1011" t="s">
        <v>613</v>
      </c>
      <c r="H1011" t="s">
        <v>517</v>
      </c>
      <c r="I1011"/>
    </row>
    <row r="1012" spans="1:9">
      <c r="A1012" t="s">
        <v>1136</v>
      </c>
      <c r="B1012" s="1" t="str">
        <f>"20159443"</f>
        <v>20159443</v>
      </c>
      <c r="C1012" t="s">
        <v>1146</v>
      </c>
      <c r="D1012" t="s">
        <v>1179</v>
      </c>
      <c r="E1012" s="2"/>
      <c r="F1012"/>
      <c r="G1012" t="s">
        <v>620</v>
      </c>
      <c r="H1012" t="s">
        <v>620</v>
      </c>
      <c r="I1012"/>
    </row>
    <row r="1013" spans="1:9">
      <c r="A1013" t="s">
        <v>1136</v>
      </c>
      <c r="B1013" s="1" t="str">
        <f>"20159443.2"</f>
        <v>20159443.2</v>
      </c>
      <c r="C1013" t="s">
        <v>1146</v>
      </c>
      <c r="D1013" t="s">
        <v>1179</v>
      </c>
      <c r="E1013" s="2"/>
      <c r="F1013"/>
      <c r="G1013" t="s">
        <v>620</v>
      </c>
      <c r="H1013" t="s">
        <v>517</v>
      </c>
      <c r="I1013"/>
    </row>
    <row r="1014" spans="1:9">
      <c r="A1014" t="s">
        <v>1136</v>
      </c>
      <c r="B1014" s="1" t="str">
        <f>"20093662"</f>
        <v>20093662</v>
      </c>
      <c r="C1014" t="s">
        <v>1146</v>
      </c>
      <c r="D1014" t="s">
        <v>1180</v>
      </c>
      <c r="E1014" s="2"/>
      <c r="F1014" t="s">
        <v>1181</v>
      </c>
      <c r="G1014" t="s">
        <v>1165</v>
      </c>
      <c r="H1014" t="s">
        <v>1165</v>
      </c>
      <c r="I1014"/>
    </row>
    <row r="1015" spans="1:9">
      <c r="A1015" t="s">
        <v>1136</v>
      </c>
      <c r="B1015" s="1" t="str">
        <f>"20093662.2"</f>
        <v>20093662.2</v>
      </c>
      <c r="C1015" t="s">
        <v>1146</v>
      </c>
      <c r="D1015" t="s">
        <v>1180</v>
      </c>
      <c r="E1015" s="2"/>
      <c r="F1015" t="s">
        <v>1181</v>
      </c>
      <c r="G1015" t="s">
        <v>1165</v>
      </c>
      <c r="H1015" t="s">
        <v>517</v>
      </c>
      <c r="I1015"/>
    </row>
    <row r="1016" spans="1:9">
      <c r="A1016" t="s">
        <v>1136</v>
      </c>
      <c r="B1016" s="1" t="str">
        <f>"24853572"</f>
        <v>24853572</v>
      </c>
      <c r="C1016" t="s">
        <v>1146</v>
      </c>
      <c r="D1016" t="s">
        <v>1182</v>
      </c>
      <c r="E1016" s="2"/>
      <c r="F1016" t="s">
        <v>681</v>
      </c>
      <c r="G1016" t="s">
        <v>1161</v>
      </c>
      <c r="H1016" t="s">
        <v>1161</v>
      </c>
      <c r="I1016"/>
    </row>
    <row r="1017" spans="1:9">
      <c r="A1017" t="s">
        <v>1136</v>
      </c>
      <c r="B1017" s="1" t="str">
        <f>"24853572.2"</f>
        <v>24853572.2</v>
      </c>
      <c r="C1017" t="s">
        <v>1146</v>
      </c>
      <c r="D1017" t="s">
        <v>1182</v>
      </c>
      <c r="E1017" s="2"/>
      <c r="F1017" t="s">
        <v>681</v>
      </c>
      <c r="G1017" t="s">
        <v>1161</v>
      </c>
      <c r="H1017" t="s">
        <v>517</v>
      </c>
      <c r="I1017"/>
    </row>
    <row r="1018" spans="1:9">
      <c r="A1018" t="s">
        <v>1136</v>
      </c>
      <c r="B1018" s="1" t="str">
        <f>"20214418"</f>
        <v>20214418</v>
      </c>
      <c r="C1018" t="s">
        <v>1146</v>
      </c>
      <c r="D1018" t="s">
        <v>1183</v>
      </c>
      <c r="E1018" s="2"/>
      <c r="F1018"/>
      <c r="G1018" t="s">
        <v>618</v>
      </c>
      <c r="H1018" t="s">
        <v>618</v>
      </c>
      <c r="I1018"/>
    </row>
    <row r="1019" spans="1:9">
      <c r="A1019" t="s">
        <v>1136</v>
      </c>
      <c r="B1019" s="1" t="str">
        <f>"20214418.2"</f>
        <v>20214418.2</v>
      </c>
      <c r="C1019" t="s">
        <v>1146</v>
      </c>
      <c r="D1019" t="s">
        <v>1183</v>
      </c>
      <c r="E1019" s="2"/>
      <c r="F1019"/>
      <c r="G1019" t="s">
        <v>618</v>
      </c>
      <c r="H1019" t="s">
        <v>517</v>
      </c>
      <c r="I1019"/>
    </row>
    <row r="1020" spans="1:9">
      <c r="A1020" t="s">
        <v>1136</v>
      </c>
      <c r="B1020" s="1" t="str">
        <f>"20098223"</f>
        <v>20098223</v>
      </c>
      <c r="C1020" t="s">
        <v>1146</v>
      </c>
      <c r="D1020" t="s">
        <v>1184</v>
      </c>
      <c r="E1020" s="2"/>
      <c r="F1020" t="s">
        <v>677</v>
      </c>
      <c r="G1020" t="s">
        <v>1165</v>
      </c>
      <c r="H1020" t="s">
        <v>1165</v>
      </c>
      <c r="I1020"/>
    </row>
    <row r="1021" spans="1:9">
      <c r="A1021" t="s">
        <v>1136</v>
      </c>
      <c r="B1021" s="1" t="str">
        <f>"20098223.2"</f>
        <v>20098223.2</v>
      </c>
      <c r="C1021" t="s">
        <v>1146</v>
      </c>
      <c r="D1021" t="s">
        <v>1184</v>
      </c>
      <c r="E1021" s="2"/>
      <c r="F1021" t="s">
        <v>677</v>
      </c>
      <c r="G1021" t="s">
        <v>1165</v>
      </c>
      <c r="H1021" t="s">
        <v>517</v>
      </c>
      <c r="I1021"/>
    </row>
    <row r="1022" spans="1:9">
      <c r="A1022" t="s">
        <v>1136</v>
      </c>
      <c r="B1022" s="1" t="str">
        <f>"20108427"</f>
        <v>20108427</v>
      </c>
      <c r="C1022" t="s">
        <v>1146</v>
      </c>
      <c r="D1022" t="s">
        <v>1185</v>
      </c>
      <c r="E1022" s="2"/>
      <c r="F1022"/>
      <c r="G1022" t="s">
        <v>922</v>
      </c>
      <c r="H1022" t="s">
        <v>922</v>
      </c>
      <c r="I1022"/>
    </row>
    <row r="1023" spans="1:9">
      <c r="A1023" t="s">
        <v>1136</v>
      </c>
      <c r="B1023" s="1" t="str">
        <f>"20108427.2"</f>
        <v>20108427.2</v>
      </c>
      <c r="C1023" t="s">
        <v>1146</v>
      </c>
      <c r="D1023" t="s">
        <v>1185</v>
      </c>
      <c r="E1023" s="2"/>
      <c r="F1023"/>
      <c r="G1023" t="s">
        <v>922</v>
      </c>
      <c r="H1023" t="s">
        <v>517</v>
      </c>
      <c r="I1023"/>
    </row>
    <row r="1024" spans="1:9">
      <c r="A1024" t="s">
        <v>1136</v>
      </c>
      <c r="B1024" s="1" t="str">
        <f>"20031626"</f>
        <v>20031626</v>
      </c>
      <c r="C1024" t="s">
        <v>1146</v>
      </c>
      <c r="D1024" t="s">
        <v>1186</v>
      </c>
      <c r="E1024" s="2"/>
      <c r="F1024"/>
      <c r="G1024" t="s">
        <v>695</v>
      </c>
      <c r="H1024" t="s">
        <v>695</v>
      </c>
      <c r="I1024"/>
    </row>
    <row r="1025" spans="1:9">
      <c r="A1025" t="s">
        <v>1136</v>
      </c>
      <c r="B1025" s="1" t="str">
        <f>"20031626.2"</f>
        <v>20031626.2</v>
      </c>
      <c r="C1025" t="s">
        <v>1146</v>
      </c>
      <c r="D1025" t="s">
        <v>1186</v>
      </c>
      <c r="E1025" s="2"/>
      <c r="F1025"/>
      <c r="G1025" t="s">
        <v>695</v>
      </c>
      <c r="H1025" t="s">
        <v>517</v>
      </c>
      <c r="I1025"/>
    </row>
    <row r="1026" spans="1:9">
      <c r="A1026" t="s">
        <v>1136</v>
      </c>
      <c r="B1026" s="1" t="str">
        <f>"24854681"</f>
        <v>24854681</v>
      </c>
      <c r="C1026" t="s">
        <v>1146</v>
      </c>
      <c r="D1026" t="s">
        <v>1187</v>
      </c>
      <c r="E1026" s="2"/>
      <c r="F1026"/>
      <c r="G1026" t="s">
        <v>516</v>
      </c>
      <c r="H1026" t="s">
        <v>516</v>
      </c>
      <c r="I1026"/>
    </row>
    <row r="1027" spans="1:9">
      <c r="A1027" t="s">
        <v>1136</v>
      </c>
      <c r="B1027" s="1" t="str">
        <f>"24854681.2"</f>
        <v>24854681.2</v>
      </c>
      <c r="C1027" t="s">
        <v>1146</v>
      </c>
      <c r="D1027" t="s">
        <v>1187</v>
      </c>
      <c r="E1027" s="2"/>
      <c r="F1027"/>
      <c r="G1027" t="s">
        <v>516</v>
      </c>
      <c r="H1027" t="s">
        <v>517</v>
      </c>
      <c r="I1027"/>
    </row>
    <row r="1028" spans="1:9">
      <c r="A1028" t="s">
        <v>1136</v>
      </c>
      <c r="B1028" s="1" t="str">
        <f>"22315845"</f>
        <v>22315845</v>
      </c>
      <c r="C1028" t="s">
        <v>1146</v>
      </c>
      <c r="D1028" t="s">
        <v>1188</v>
      </c>
      <c r="E1028" s="2"/>
      <c r="F1028"/>
      <c r="G1028" t="s">
        <v>1161</v>
      </c>
      <c r="H1028" t="s">
        <v>1161</v>
      </c>
      <c r="I1028"/>
    </row>
    <row r="1029" spans="1:9">
      <c r="A1029" t="s">
        <v>1136</v>
      </c>
      <c r="B1029" s="1" t="str">
        <f>"22315845.2"</f>
        <v>22315845.2</v>
      </c>
      <c r="C1029" t="s">
        <v>1146</v>
      </c>
      <c r="D1029" t="s">
        <v>1188</v>
      </c>
      <c r="E1029" s="2"/>
      <c r="F1029"/>
      <c r="G1029" t="s">
        <v>1161</v>
      </c>
      <c r="H1029" t="s">
        <v>517</v>
      </c>
      <c r="I1029"/>
    </row>
    <row r="1030" spans="1:9">
      <c r="A1030" t="s">
        <v>1136</v>
      </c>
      <c r="B1030" s="1" t="str">
        <f>"20855352"</f>
        <v>20855352</v>
      </c>
      <c r="C1030" t="s">
        <v>1146</v>
      </c>
      <c r="D1030" t="s">
        <v>1189</v>
      </c>
      <c r="E1030" s="2"/>
      <c r="F1030"/>
      <c r="G1030" t="s">
        <v>890</v>
      </c>
      <c r="H1030" t="s">
        <v>890</v>
      </c>
      <c r="I1030"/>
    </row>
    <row r="1031" spans="1:9">
      <c r="A1031" t="s">
        <v>1136</v>
      </c>
      <c r="B1031" s="1" t="str">
        <f>"20855352.2"</f>
        <v>20855352.2</v>
      </c>
      <c r="C1031" t="s">
        <v>1146</v>
      </c>
      <c r="D1031" t="s">
        <v>1189</v>
      </c>
      <c r="E1031" s="2"/>
      <c r="F1031"/>
      <c r="G1031" t="s">
        <v>890</v>
      </c>
      <c r="H1031" t="s">
        <v>517</v>
      </c>
      <c r="I1031"/>
    </row>
    <row r="1032" spans="1:9">
      <c r="A1032" t="s">
        <v>1136</v>
      </c>
      <c r="B1032" s="1" t="str">
        <f>"20057985"</f>
        <v>20057985</v>
      </c>
      <c r="C1032" t="s">
        <v>1146</v>
      </c>
      <c r="D1032" t="s">
        <v>1190</v>
      </c>
      <c r="E1032" s="2"/>
      <c r="F1032"/>
      <c r="G1032" t="s">
        <v>598</v>
      </c>
      <c r="H1032" t="s">
        <v>598</v>
      </c>
      <c r="I1032"/>
    </row>
    <row r="1033" spans="1:9">
      <c r="A1033" t="s">
        <v>1136</v>
      </c>
      <c r="B1033" s="1" t="str">
        <f>"20057985.2"</f>
        <v>20057985.2</v>
      </c>
      <c r="C1033" t="s">
        <v>1146</v>
      </c>
      <c r="D1033" t="s">
        <v>1190</v>
      </c>
      <c r="E1033" s="2"/>
      <c r="F1033"/>
      <c r="G1033" t="s">
        <v>598</v>
      </c>
      <c r="H1033" t="s">
        <v>517</v>
      </c>
      <c r="I1033"/>
    </row>
    <row r="1034" spans="1:9">
      <c r="A1034" t="s">
        <v>1136</v>
      </c>
      <c r="B1034" s="1" t="str">
        <f>"20031947"</f>
        <v>20031947</v>
      </c>
      <c r="C1034" t="s">
        <v>1146</v>
      </c>
      <c r="D1034" t="s">
        <v>1191</v>
      </c>
      <c r="E1034" s="2"/>
      <c r="F1034"/>
      <c r="G1034" t="s">
        <v>922</v>
      </c>
      <c r="H1034" t="s">
        <v>922</v>
      </c>
      <c r="I1034"/>
    </row>
    <row r="1035" spans="1:9">
      <c r="A1035" t="s">
        <v>1136</v>
      </c>
      <c r="B1035" s="1" t="str">
        <f>"20031947.2"</f>
        <v>20031947.2</v>
      </c>
      <c r="C1035" t="s">
        <v>1146</v>
      </c>
      <c r="D1035" t="s">
        <v>1191</v>
      </c>
      <c r="E1035" s="2"/>
      <c r="F1035"/>
      <c r="G1035" t="s">
        <v>922</v>
      </c>
      <c r="H1035" t="s">
        <v>517</v>
      </c>
      <c r="I1035"/>
    </row>
    <row r="1036" spans="1:9">
      <c r="A1036" t="s">
        <v>1136</v>
      </c>
      <c r="B1036" s="1" t="str">
        <f>"20054849"</f>
        <v>20054849</v>
      </c>
      <c r="C1036" t="s">
        <v>1146</v>
      </c>
      <c r="D1036" t="s">
        <v>1192</v>
      </c>
      <c r="E1036" s="2"/>
      <c r="F1036" t="s">
        <v>107</v>
      </c>
      <c r="G1036" t="s">
        <v>614</v>
      </c>
      <c r="H1036" t="s">
        <v>614</v>
      </c>
      <c r="I1036"/>
    </row>
    <row r="1037" spans="1:9">
      <c r="A1037" t="s">
        <v>1136</v>
      </c>
      <c r="B1037" s="1" t="str">
        <f>"20054849.2"</f>
        <v>20054849.2</v>
      </c>
      <c r="C1037" t="s">
        <v>1146</v>
      </c>
      <c r="D1037" t="s">
        <v>1192</v>
      </c>
      <c r="E1037" s="2"/>
      <c r="F1037" t="s">
        <v>107</v>
      </c>
      <c r="G1037" t="s">
        <v>614</v>
      </c>
      <c r="H1037" t="s">
        <v>517</v>
      </c>
      <c r="I1037"/>
    </row>
    <row r="1038" spans="1:9">
      <c r="A1038" t="s">
        <v>1136</v>
      </c>
      <c r="B1038" s="1" t="str">
        <f>"21194564"</f>
        <v>21194564</v>
      </c>
      <c r="C1038" t="s">
        <v>1146</v>
      </c>
      <c r="D1038" t="s">
        <v>1193</v>
      </c>
      <c r="E1038" s="2"/>
      <c r="F1038"/>
      <c r="G1038" t="s">
        <v>616</v>
      </c>
      <c r="H1038" t="s">
        <v>616</v>
      </c>
      <c r="I1038"/>
    </row>
    <row r="1039" spans="1:9">
      <c r="A1039" t="s">
        <v>1136</v>
      </c>
      <c r="B1039" s="1" t="str">
        <f>"21194564.2"</f>
        <v>21194564.2</v>
      </c>
      <c r="C1039" t="s">
        <v>1146</v>
      </c>
      <c r="D1039" t="s">
        <v>1193</v>
      </c>
      <c r="E1039" s="2"/>
      <c r="F1039"/>
      <c r="G1039" t="s">
        <v>616</v>
      </c>
      <c r="H1039" t="s">
        <v>517</v>
      </c>
      <c r="I1039"/>
    </row>
    <row r="1040" spans="1:9">
      <c r="A1040" t="s">
        <v>1136</v>
      </c>
      <c r="B1040" s="1" t="str">
        <f>"20067762"</f>
        <v>20067762</v>
      </c>
      <c r="C1040" t="s">
        <v>1146</v>
      </c>
      <c r="D1040" t="s">
        <v>1194</v>
      </c>
      <c r="E1040" s="2"/>
      <c r="F1040"/>
      <c r="G1040" t="s">
        <v>1161</v>
      </c>
      <c r="H1040" t="s">
        <v>1161</v>
      </c>
      <c r="I1040"/>
    </row>
    <row r="1041" spans="1:9">
      <c r="A1041" t="s">
        <v>1136</v>
      </c>
      <c r="B1041" s="1" t="str">
        <f>"20067762.2"</f>
        <v>20067762.2</v>
      </c>
      <c r="C1041" t="s">
        <v>1146</v>
      </c>
      <c r="D1041" t="s">
        <v>1194</v>
      </c>
      <c r="E1041" s="2"/>
      <c r="F1041"/>
      <c r="G1041" t="s">
        <v>1161</v>
      </c>
      <c r="H1041" t="s">
        <v>517</v>
      </c>
      <c r="I1041"/>
    </row>
    <row r="1042" spans="1:9">
      <c r="A1042" t="s">
        <v>1136</v>
      </c>
      <c r="B1042" s="1" t="str">
        <f>"24226750"</f>
        <v>24226750</v>
      </c>
      <c r="C1042" t="s">
        <v>1146</v>
      </c>
      <c r="D1042" t="s">
        <v>1195</v>
      </c>
      <c r="E1042" s="2"/>
      <c r="F1042"/>
      <c r="G1042" t="s">
        <v>598</v>
      </c>
      <c r="H1042" t="s">
        <v>598</v>
      </c>
      <c r="I1042"/>
    </row>
    <row r="1043" spans="1:9">
      <c r="A1043" t="s">
        <v>1136</v>
      </c>
      <c r="B1043" s="1" t="str">
        <f>"24226750.2"</f>
        <v>24226750.2</v>
      </c>
      <c r="C1043" t="s">
        <v>1146</v>
      </c>
      <c r="D1043" t="s">
        <v>1195</v>
      </c>
      <c r="E1043" s="2"/>
      <c r="F1043"/>
      <c r="G1043" t="s">
        <v>598</v>
      </c>
      <c r="H1043" t="s">
        <v>517</v>
      </c>
      <c r="I1043"/>
    </row>
    <row r="1044" spans="1:9">
      <c r="A1044" t="s">
        <v>1136</v>
      </c>
      <c r="B1044" s="1" t="str">
        <f>"20058246"</f>
        <v>20058246</v>
      </c>
      <c r="C1044" t="s">
        <v>1146</v>
      </c>
      <c r="D1044" t="s">
        <v>1196</v>
      </c>
      <c r="E1044" s="2"/>
      <c r="F1044"/>
      <c r="G1044" t="s">
        <v>900</v>
      </c>
      <c r="H1044" t="s">
        <v>900</v>
      </c>
      <c r="I1044"/>
    </row>
    <row r="1045" spans="1:9">
      <c r="A1045" t="s">
        <v>1136</v>
      </c>
      <c r="B1045" s="1" t="str">
        <f>"20058246.2"</f>
        <v>20058246.2</v>
      </c>
      <c r="C1045" t="s">
        <v>1146</v>
      </c>
      <c r="D1045" t="s">
        <v>1196</v>
      </c>
      <c r="E1045" s="2"/>
      <c r="F1045"/>
      <c r="G1045" t="s">
        <v>900</v>
      </c>
      <c r="H1045" t="s">
        <v>517</v>
      </c>
      <c r="I1045"/>
    </row>
    <row r="1046" spans="1:9">
      <c r="A1046" t="s">
        <v>1136</v>
      </c>
      <c r="B1046" s="1" t="str">
        <f>"20097660"</f>
        <v>20097660</v>
      </c>
      <c r="C1046" t="s">
        <v>1146</v>
      </c>
      <c r="D1046" t="s">
        <v>1197</v>
      </c>
      <c r="E1046" s="2"/>
      <c r="F1046"/>
      <c r="G1046" t="s">
        <v>613</v>
      </c>
      <c r="H1046" t="s">
        <v>613</v>
      </c>
      <c r="I1046"/>
    </row>
    <row r="1047" spans="1:9">
      <c r="A1047" t="s">
        <v>1136</v>
      </c>
      <c r="B1047" s="1" t="str">
        <f>"20097660.2"</f>
        <v>20097660.2</v>
      </c>
      <c r="C1047" t="s">
        <v>1146</v>
      </c>
      <c r="D1047" t="s">
        <v>1197</v>
      </c>
      <c r="E1047" s="2"/>
      <c r="F1047"/>
      <c r="G1047" t="s">
        <v>613</v>
      </c>
      <c r="H1047" t="s">
        <v>517</v>
      </c>
      <c r="I1047"/>
    </row>
    <row r="1048" spans="1:9">
      <c r="A1048" t="s">
        <v>1136</v>
      </c>
      <c r="B1048" s="1" t="str">
        <f>"20058245"</f>
        <v>20058245</v>
      </c>
      <c r="C1048" t="s">
        <v>1146</v>
      </c>
      <c r="D1048" t="s">
        <v>1198</v>
      </c>
      <c r="E1048" s="2"/>
      <c r="F1048"/>
      <c r="G1048" t="s">
        <v>620</v>
      </c>
      <c r="H1048" t="s">
        <v>620</v>
      </c>
      <c r="I1048"/>
    </row>
    <row r="1049" spans="1:9">
      <c r="A1049" t="s">
        <v>1136</v>
      </c>
      <c r="B1049" s="1" t="str">
        <f>"20058245.2"</f>
        <v>20058245.2</v>
      </c>
      <c r="C1049" t="s">
        <v>1146</v>
      </c>
      <c r="D1049" t="s">
        <v>1198</v>
      </c>
      <c r="E1049" s="2"/>
      <c r="F1049"/>
      <c r="G1049" t="s">
        <v>620</v>
      </c>
      <c r="H1049" t="s">
        <v>517</v>
      </c>
      <c r="I1049"/>
    </row>
    <row r="1050" spans="1:9">
      <c r="A1050" t="s">
        <v>1136</v>
      </c>
      <c r="B1050" s="1" t="str">
        <f>"20097653"</f>
        <v>20097653</v>
      </c>
      <c r="C1050" t="s">
        <v>1146</v>
      </c>
      <c r="D1050" t="s">
        <v>1199</v>
      </c>
      <c r="E1050" s="2"/>
      <c r="F1050"/>
      <c r="G1050" t="s">
        <v>598</v>
      </c>
      <c r="H1050" t="s">
        <v>598</v>
      </c>
      <c r="I1050"/>
    </row>
    <row r="1051" spans="1:9">
      <c r="A1051" t="s">
        <v>1136</v>
      </c>
      <c r="B1051" s="1" t="str">
        <f>"20097653.2"</f>
        <v>20097653.2</v>
      </c>
      <c r="C1051" t="s">
        <v>1146</v>
      </c>
      <c r="D1051" t="s">
        <v>1199</v>
      </c>
      <c r="E1051" s="2"/>
      <c r="F1051"/>
      <c r="G1051" t="s">
        <v>598</v>
      </c>
      <c r="H1051" t="s">
        <v>517</v>
      </c>
      <c r="I1051"/>
    </row>
    <row r="1052" spans="1:9">
      <c r="A1052" t="s">
        <v>1136</v>
      </c>
      <c r="B1052" s="1" t="str">
        <f>"20795016"</f>
        <v>20795016</v>
      </c>
      <c r="C1052" t="s">
        <v>1146</v>
      </c>
      <c r="D1052" t="s">
        <v>1200</v>
      </c>
      <c r="E1052" s="2"/>
      <c r="F1052"/>
      <c r="G1052" t="s">
        <v>1059</v>
      </c>
      <c r="H1052" t="s">
        <v>1059</v>
      </c>
      <c r="I1052"/>
    </row>
    <row r="1053" spans="1:9">
      <c r="A1053" t="s">
        <v>1136</v>
      </c>
      <c r="B1053" s="1" t="str">
        <f>"20253455"</f>
        <v>20253455</v>
      </c>
      <c r="C1053" t="s">
        <v>1146</v>
      </c>
      <c r="D1053" t="s">
        <v>1201</v>
      </c>
      <c r="E1053" s="2"/>
      <c r="F1053"/>
      <c r="G1053" t="s">
        <v>1034</v>
      </c>
      <c r="H1053" t="s">
        <v>1034</v>
      </c>
      <c r="I1053"/>
    </row>
    <row r="1054" spans="1:9">
      <c r="A1054" t="s">
        <v>1136</v>
      </c>
      <c r="B1054" s="1" t="str">
        <f>"20253455.2"</f>
        <v>20253455.2</v>
      </c>
      <c r="C1054" t="s">
        <v>1146</v>
      </c>
      <c r="D1054" t="s">
        <v>1201</v>
      </c>
      <c r="E1054" s="2"/>
      <c r="F1054"/>
      <c r="G1054" t="s">
        <v>1034</v>
      </c>
      <c r="H1054" t="s">
        <v>1088</v>
      </c>
      <c r="I1054"/>
    </row>
    <row r="1055" spans="1:9">
      <c r="A1055" t="s">
        <v>1136</v>
      </c>
      <c r="B1055" s="1" t="str">
        <f>"20055431"</f>
        <v>20055431</v>
      </c>
      <c r="C1055" t="s">
        <v>1146</v>
      </c>
      <c r="D1055" t="s">
        <v>1202</v>
      </c>
      <c r="E1055" s="2"/>
      <c r="F1055" t="s">
        <v>1203</v>
      </c>
      <c r="G1055" t="s">
        <v>299</v>
      </c>
      <c r="H1055" t="s">
        <v>299</v>
      </c>
      <c r="I1055"/>
    </row>
    <row r="1056" spans="1:9">
      <c r="A1056" t="s">
        <v>1136</v>
      </c>
      <c r="B1056" s="1" t="str">
        <f>"20055431.2"</f>
        <v>20055431.2</v>
      </c>
      <c r="C1056" t="s">
        <v>1146</v>
      </c>
      <c r="D1056" t="s">
        <v>1202</v>
      </c>
      <c r="E1056" s="2"/>
      <c r="F1056" t="s">
        <v>1203</v>
      </c>
      <c r="G1056" t="s">
        <v>299</v>
      </c>
      <c r="H1056" t="s">
        <v>218</v>
      </c>
      <c r="I1056"/>
    </row>
    <row r="1057" spans="1:9">
      <c r="A1057" t="s">
        <v>1136</v>
      </c>
      <c r="B1057" s="1" t="str">
        <f>"20032166"</f>
        <v>20032166</v>
      </c>
      <c r="C1057" t="s">
        <v>1146</v>
      </c>
      <c r="D1057" t="s">
        <v>1204</v>
      </c>
      <c r="E1057" s="2"/>
      <c r="F1057"/>
      <c r="G1057" t="s">
        <v>1034</v>
      </c>
      <c r="H1057" t="s">
        <v>1034</v>
      </c>
      <c r="I1057"/>
    </row>
    <row r="1058" spans="1:9">
      <c r="A1058" t="s">
        <v>1136</v>
      </c>
      <c r="B1058" s="1" t="str">
        <f>"20032166.2"</f>
        <v>20032166.2</v>
      </c>
      <c r="C1058" t="s">
        <v>1146</v>
      </c>
      <c r="D1058" t="s">
        <v>1204</v>
      </c>
      <c r="E1058" s="2"/>
      <c r="F1058"/>
      <c r="G1058" t="s">
        <v>1034</v>
      </c>
      <c r="H1058" t="s">
        <v>1088</v>
      </c>
      <c r="I1058"/>
    </row>
    <row r="1059" spans="1:9">
      <c r="A1059" t="s">
        <v>1136</v>
      </c>
      <c r="B1059" s="1" t="str">
        <f>"20072810"</f>
        <v>20072810</v>
      </c>
      <c r="C1059" t="s">
        <v>1146</v>
      </c>
      <c r="D1059" t="s">
        <v>1205</v>
      </c>
      <c r="E1059" s="2"/>
      <c r="F1059"/>
      <c r="G1059" t="s">
        <v>695</v>
      </c>
      <c r="H1059" t="s">
        <v>695</v>
      </c>
      <c r="I1059"/>
    </row>
    <row r="1060" spans="1:9">
      <c r="A1060" t="s">
        <v>1136</v>
      </c>
      <c r="B1060" s="1" t="str">
        <f>"20072810.2"</f>
        <v>20072810.2</v>
      </c>
      <c r="C1060" t="s">
        <v>1146</v>
      </c>
      <c r="D1060" t="s">
        <v>1205</v>
      </c>
      <c r="E1060" s="2"/>
      <c r="F1060"/>
      <c r="G1060" t="s">
        <v>695</v>
      </c>
      <c r="H1060" t="s">
        <v>517</v>
      </c>
      <c r="I1060"/>
    </row>
    <row r="1061" spans="1:9">
      <c r="A1061" t="s">
        <v>1136</v>
      </c>
      <c r="B1061" s="1" t="str">
        <f>"20795047"</f>
        <v>20795047</v>
      </c>
      <c r="C1061" t="s">
        <v>1146</v>
      </c>
      <c r="D1061" t="s">
        <v>1206</v>
      </c>
      <c r="E1061" s="2"/>
      <c r="F1061"/>
      <c r="G1061" t="s">
        <v>1059</v>
      </c>
      <c r="H1061" t="s">
        <v>1059</v>
      </c>
      <c r="I1061"/>
    </row>
    <row r="1062" spans="1:9">
      <c r="A1062" t="s">
        <v>1136</v>
      </c>
      <c r="B1062" s="1" t="str">
        <f>"20028367"</f>
        <v>20028367</v>
      </c>
      <c r="C1062" t="s">
        <v>1146</v>
      </c>
      <c r="D1062" t="s">
        <v>1207</v>
      </c>
      <c r="E1062" s="2"/>
      <c r="F1062"/>
      <c r="G1062" t="s">
        <v>1161</v>
      </c>
      <c r="H1062" t="s">
        <v>1161</v>
      </c>
      <c r="I1062"/>
    </row>
    <row r="1063" spans="1:9">
      <c r="A1063" t="s">
        <v>1136</v>
      </c>
      <c r="B1063" s="1" t="str">
        <f>"20028367.2"</f>
        <v>20028367.2</v>
      </c>
      <c r="C1063" t="s">
        <v>1146</v>
      </c>
      <c r="D1063" t="s">
        <v>1207</v>
      </c>
      <c r="E1063" s="2"/>
      <c r="F1063"/>
      <c r="G1063" t="s">
        <v>1161</v>
      </c>
      <c r="H1063" t="s">
        <v>517</v>
      </c>
      <c r="I1063"/>
    </row>
    <row r="1064" spans="1:9">
      <c r="A1064" t="s">
        <v>1136</v>
      </c>
      <c r="B1064" s="1" t="str">
        <f>"20058869"</f>
        <v>20058869</v>
      </c>
      <c r="C1064" t="s">
        <v>1146</v>
      </c>
      <c r="D1064" t="s">
        <v>1208</v>
      </c>
      <c r="E1064" s="2"/>
      <c r="F1064"/>
      <c r="G1064" t="s">
        <v>299</v>
      </c>
      <c r="H1064" t="s">
        <v>243</v>
      </c>
      <c r="I1064"/>
    </row>
    <row r="1065" spans="1:9">
      <c r="A1065" t="s">
        <v>1136</v>
      </c>
      <c r="B1065" s="1" t="str">
        <f>"20058869.2"</f>
        <v>20058869.2</v>
      </c>
      <c r="C1065" t="s">
        <v>1146</v>
      </c>
      <c r="D1065" t="s">
        <v>1209</v>
      </c>
      <c r="E1065" s="2"/>
      <c r="F1065"/>
      <c r="G1065" t="s">
        <v>299</v>
      </c>
      <c r="H1065" t="s">
        <v>218</v>
      </c>
      <c r="I1065"/>
    </row>
    <row r="1066" spans="1:9">
      <c r="A1066" t="s">
        <v>1136</v>
      </c>
      <c r="B1066" s="1" t="str">
        <f>"20098018"</f>
        <v>20098018</v>
      </c>
      <c r="C1066" t="s">
        <v>1146</v>
      </c>
      <c r="D1066" t="s">
        <v>1210</v>
      </c>
      <c r="E1066" s="2"/>
      <c r="F1066" t="s">
        <v>1211</v>
      </c>
      <c r="G1066" t="s">
        <v>1034</v>
      </c>
      <c r="H1066" t="s">
        <v>1034</v>
      </c>
      <c r="I1066"/>
    </row>
    <row r="1067" spans="1:9">
      <c r="A1067" t="s">
        <v>1136</v>
      </c>
      <c r="B1067" s="1" t="str">
        <f>"20098018.2"</f>
        <v>20098018.2</v>
      </c>
      <c r="C1067" t="s">
        <v>1146</v>
      </c>
      <c r="D1067" t="s">
        <v>1210</v>
      </c>
      <c r="E1067" s="2"/>
      <c r="F1067" t="s">
        <v>1211</v>
      </c>
      <c r="G1067" t="s">
        <v>1034</v>
      </c>
      <c r="H1067" t="s">
        <v>1088</v>
      </c>
      <c r="I1067"/>
    </row>
    <row r="1068" spans="1:9">
      <c r="A1068" t="s">
        <v>1136</v>
      </c>
      <c r="B1068" s="1" t="str">
        <f>"20055332"</f>
        <v>20055332</v>
      </c>
      <c r="C1068" t="s">
        <v>1146</v>
      </c>
      <c r="D1068" t="s">
        <v>1212</v>
      </c>
      <c r="E1068" s="2"/>
      <c r="F1068"/>
      <c r="G1068" t="s">
        <v>616</v>
      </c>
      <c r="H1068" t="s">
        <v>695</v>
      </c>
      <c r="I1068"/>
    </row>
    <row r="1069" spans="1:9">
      <c r="A1069" t="s">
        <v>1136</v>
      </c>
      <c r="B1069" s="1" t="str">
        <f>"20055332.2"</f>
        <v>20055332.2</v>
      </c>
      <c r="C1069" t="s">
        <v>1146</v>
      </c>
      <c r="D1069" t="s">
        <v>1213</v>
      </c>
      <c r="E1069" s="2"/>
      <c r="F1069"/>
      <c r="G1069" t="s">
        <v>695</v>
      </c>
      <c r="H1069" t="s">
        <v>517</v>
      </c>
      <c r="I1069"/>
    </row>
    <row r="1070" spans="1:9">
      <c r="A1070" t="s">
        <v>1136</v>
      </c>
      <c r="B1070" s="1" t="str">
        <f>"12574130"</f>
        <v>12574130</v>
      </c>
      <c r="C1070" t="s">
        <v>1146</v>
      </c>
      <c r="D1070" t="s">
        <v>1214</v>
      </c>
      <c r="E1070" s="2"/>
      <c r="F1070" t="s">
        <v>52</v>
      </c>
      <c r="G1070" t="s">
        <v>122</v>
      </c>
      <c r="H1070" t="s">
        <v>383</v>
      </c>
      <c r="I1070"/>
    </row>
    <row r="1071" spans="1:9">
      <c r="A1071" t="s">
        <v>1136</v>
      </c>
      <c r="B1071" s="1" t="str">
        <f>"20103514"</f>
        <v>20103514</v>
      </c>
      <c r="C1071" t="s">
        <v>1146</v>
      </c>
      <c r="D1071" t="s">
        <v>1215</v>
      </c>
      <c r="E1071" s="2"/>
      <c r="F1071"/>
      <c r="G1071" t="s">
        <v>1034</v>
      </c>
      <c r="H1071" t="s">
        <v>1034</v>
      </c>
      <c r="I1071"/>
    </row>
    <row r="1072" spans="1:9">
      <c r="A1072" t="s">
        <v>1136</v>
      </c>
      <c r="B1072" s="1" t="str">
        <f>"20103514.2"</f>
        <v>20103514.2</v>
      </c>
      <c r="C1072" t="s">
        <v>1146</v>
      </c>
      <c r="D1072" t="s">
        <v>1215</v>
      </c>
      <c r="E1072" s="2"/>
      <c r="F1072"/>
      <c r="G1072" t="s">
        <v>1034</v>
      </c>
      <c r="H1072" t="s">
        <v>1088</v>
      </c>
      <c r="I1072"/>
    </row>
    <row r="1073" spans="1:9">
      <c r="A1073" t="s">
        <v>1136</v>
      </c>
      <c r="B1073" s="1" t="str">
        <f>"26107343"</f>
        <v>26107343</v>
      </c>
      <c r="C1073" t="s">
        <v>1146</v>
      </c>
      <c r="D1073" t="s">
        <v>1216</v>
      </c>
      <c r="E1073" s="2"/>
      <c r="F1073"/>
      <c r="G1073" t="s">
        <v>598</v>
      </c>
      <c r="H1073" t="s">
        <v>598</v>
      </c>
      <c r="I1073"/>
    </row>
    <row r="1074" spans="1:9">
      <c r="A1074" t="s">
        <v>1136</v>
      </c>
      <c r="B1074" s="1" t="str">
        <f>"26107343.2"</f>
        <v>26107343.2</v>
      </c>
      <c r="C1074" t="s">
        <v>1146</v>
      </c>
      <c r="D1074" t="s">
        <v>1216</v>
      </c>
      <c r="E1074" s="2"/>
      <c r="F1074"/>
      <c r="G1074" t="s">
        <v>598</v>
      </c>
      <c r="H1074" t="s">
        <v>517</v>
      </c>
      <c r="I1074"/>
    </row>
    <row r="1075" spans="1:9">
      <c r="A1075" t="s">
        <v>1136</v>
      </c>
      <c r="B1075" s="1" t="str">
        <f>"20044367"</f>
        <v>20044367</v>
      </c>
      <c r="C1075" t="s">
        <v>1146</v>
      </c>
      <c r="D1075" t="s">
        <v>1217</v>
      </c>
      <c r="E1075" s="2"/>
      <c r="F1075"/>
      <c r="G1075" t="s">
        <v>299</v>
      </c>
      <c r="H1075" t="s">
        <v>299</v>
      </c>
      <c r="I1075"/>
    </row>
    <row r="1076" spans="1:9">
      <c r="A1076" t="s">
        <v>1136</v>
      </c>
      <c r="B1076" s="1" t="str">
        <f>"20044367.2"</f>
        <v>20044367.2</v>
      </c>
      <c r="C1076" t="s">
        <v>1146</v>
      </c>
      <c r="D1076" t="s">
        <v>1217</v>
      </c>
      <c r="E1076" s="2"/>
      <c r="F1076"/>
      <c r="G1076" t="s">
        <v>299</v>
      </c>
      <c r="H1076" t="s">
        <v>218</v>
      </c>
      <c r="I1076"/>
    </row>
    <row r="1077" spans="1:9">
      <c r="A1077" t="s">
        <v>1136</v>
      </c>
      <c r="B1077" s="1" t="str">
        <f>"20043933"</f>
        <v>20043933</v>
      </c>
      <c r="C1077" t="s">
        <v>1146</v>
      </c>
      <c r="D1077" t="s">
        <v>1218</v>
      </c>
      <c r="E1077" s="2"/>
      <c r="F1077"/>
      <c r="G1077" t="s">
        <v>299</v>
      </c>
      <c r="H1077" t="s">
        <v>299</v>
      </c>
      <c r="I1077"/>
    </row>
    <row r="1078" spans="1:9">
      <c r="A1078" t="s">
        <v>1136</v>
      </c>
      <c r="B1078" s="1" t="str">
        <f>"20043933.2"</f>
        <v>20043933.2</v>
      </c>
      <c r="C1078" t="s">
        <v>1146</v>
      </c>
      <c r="D1078" t="s">
        <v>1218</v>
      </c>
      <c r="E1078" s="2"/>
      <c r="F1078"/>
      <c r="G1078" t="s">
        <v>299</v>
      </c>
      <c r="H1078" t="s">
        <v>218</v>
      </c>
      <c r="I1078"/>
    </row>
    <row r="1079" spans="1:9">
      <c r="A1079" t="s">
        <v>1136</v>
      </c>
      <c r="B1079" s="1" t="str">
        <f>"12009511"</f>
        <v>12009511</v>
      </c>
      <c r="C1079" t="s">
        <v>1146</v>
      </c>
      <c r="D1079" t="s">
        <v>1219</v>
      </c>
      <c r="E1079" s="2"/>
      <c r="F1079" t="s">
        <v>22</v>
      </c>
      <c r="G1079" t="s">
        <v>122</v>
      </c>
      <c r="H1079" t="s">
        <v>383</v>
      </c>
      <c r="I1079"/>
    </row>
    <row r="1080" spans="1:9">
      <c r="A1080" t="s">
        <v>1136</v>
      </c>
      <c r="B1080" s="1" t="str">
        <f>"20028619"</f>
        <v>20028619</v>
      </c>
      <c r="C1080" t="s">
        <v>1146</v>
      </c>
      <c r="D1080" t="s">
        <v>1220</v>
      </c>
      <c r="E1080" s="2"/>
      <c r="F1080"/>
      <c r="G1080" t="s">
        <v>695</v>
      </c>
      <c r="H1080" t="s">
        <v>695</v>
      </c>
      <c r="I1080"/>
    </row>
    <row r="1081" spans="1:9">
      <c r="A1081" t="s">
        <v>1136</v>
      </c>
      <c r="B1081" s="1" t="str">
        <f>"20028619.2"</f>
        <v>20028619.2</v>
      </c>
      <c r="C1081" t="s">
        <v>1146</v>
      </c>
      <c r="D1081" t="s">
        <v>1220</v>
      </c>
      <c r="E1081" s="2"/>
      <c r="F1081"/>
      <c r="G1081" t="s">
        <v>695</v>
      </c>
      <c r="H1081" t="s">
        <v>517</v>
      </c>
      <c r="I1081"/>
    </row>
    <row r="1082" spans="1:9">
      <c r="A1082" t="s">
        <v>1136</v>
      </c>
      <c r="B1082" s="1" t="str">
        <f>"20813666"</f>
        <v>20813666</v>
      </c>
      <c r="C1082" t="s">
        <v>1146</v>
      </c>
      <c r="D1082" t="s">
        <v>1221</v>
      </c>
      <c r="E1082" s="2"/>
      <c r="F1082"/>
      <c r="G1082" t="s">
        <v>299</v>
      </c>
      <c r="H1082" t="s">
        <v>299</v>
      </c>
      <c r="I1082"/>
    </row>
    <row r="1083" spans="1:9">
      <c r="A1083" t="s">
        <v>1136</v>
      </c>
      <c r="B1083" s="1" t="str">
        <f>"20813666.2"</f>
        <v>20813666.2</v>
      </c>
      <c r="C1083" t="s">
        <v>1146</v>
      </c>
      <c r="D1083" t="s">
        <v>1221</v>
      </c>
      <c r="E1083" s="2"/>
      <c r="F1083"/>
      <c r="G1083" t="s">
        <v>299</v>
      </c>
      <c r="H1083" t="s">
        <v>218</v>
      </c>
      <c r="I1083"/>
    </row>
    <row r="1084" spans="1:9">
      <c r="A1084" t="s">
        <v>1136</v>
      </c>
      <c r="B1084" s="1" t="str">
        <f>"20045845"</f>
        <v>20045845</v>
      </c>
      <c r="C1084" t="s">
        <v>1146</v>
      </c>
      <c r="D1084" t="s">
        <v>1222</v>
      </c>
      <c r="E1084" s="2"/>
      <c r="F1084"/>
      <c r="G1084" t="s">
        <v>299</v>
      </c>
      <c r="H1084" t="s">
        <v>299</v>
      </c>
      <c r="I1084"/>
    </row>
    <row r="1085" spans="1:9">
      <c r="A1085" t="s">
        <v>1136</v>
      </c>
      <c r="B1085" s="1" t="str">
        <f>"20045845.2"</f>
        <v>20045845.2</v>
      </c>
      <c r="C1085" t="s">
        <v>1146</v>
      </c>
      <c r="D1085" t="s">
        <v>1222</v>
      </c>
      <c r="E1085" s="2"/>
      <c r="F1085"/>
      <c r="G1085" t="s">
        <v>299</v>
      </c>
      <c r="H1085" t="s">
        <v>218</v>
      </c>
      <c r="I1085"/>
    </row>
    <row r="1086" spans="1:9">
      <c r="A1086" t="s">
        <v>1136</v>
      </c>
      <c r="B1086" s="1" t="str">
        <f>"20044251"</f>
        <v>20044251</v>
      </c>
      <c r="C1086" t="s">
        <v>1146</v>
      </c>
      <c r="D1086" t="s">
        <v>1223</v>
      </c>
      <c r="E1086" s="2"/>
      <c r="F1086"/>
      <c r="G1086" t="s">
        <v>299</v>
      </c>
      <c r="H1086" t="s">
        <v>299</v>
      </c>
      <c r="I1086"/>
    </row>
    <row r="1087" spans="1:9">
      <c r="A1087" t="s">
        <v>1136</v>
      </c>
      <c r="B1087" s="1" t="str">
        <f>"20044251.2"</f>
        <v>20044251.2</v>
      </c>
      <c r="C1087" t="s">
        <v>1146</v>
      </c>
      <c r="D1087" t="s">
        <v>1223</v>
      </c>
      <c r="E1087" s="2"/>
      <c r="F1087"/>
      <c r="G1087" t="s">
        <v>299</v>
      </c>
      <c r="H1087" t="s">
        <v>218</v>
      </c>
      <c r="I1087"/>
    </row>
    <row r="1088" spans="1:9">
      <c r="A1088" t="s">
        <v>1136</v>
      </c>
      <c r="B1088" s="1" t="str">
        <f>"20047238"</f>
        <v>20047238</v>
      </c>
      <c r="C1088" t="s">
        <v>1146</v>
      </c>
      <c r="D1088" t="s">
        <v>1224</v>
      </c>
      <c r="E1088" s="2"/>
      <c r="F1088"/>
      <c r="G1088" t="s">
        <v>299</v>
      </c>
      <c r="H1088" t="s">
        <v>299</v>
      </c>
      <c r="I1088"/>
    </row>
    <row r="1089" spans="1:9">
      <c r="A1089" t="s">
        <v>1136</v>
      </c>
      <c r="B1089" s="1" t="str">
        <f>"20047238.2"</f>
        <v>20047238.2</v>
      </c>
      <c r="C1089" t="s">
        <v>1146</v>
      </c>
      <c r="D1089" t="s">
        <v>1224</v>
      </c>
      <c r="E1089" s="2"/>
      <c r="F1089"/>
      <c r="G1089" t="s">
        <v>299</v>
      </c>
      <c r="H1089" t="s">
        <v>218</v>
      </c>
      <c r="I1089"/>
    </row>
    <row r="1090" spans="1:9">
      <c r="A1090" t="s">
        <v>1136</v>
      </c>
      <c r="B1090" s="1" t="str">
        <f>"20106225"</f>
        <v>20106225</v>
      </c>
      <c r="C1090" t="s">
        <v>1146</v>
      </c>
      <c r="D1090" t="s">
        <v>1225</v>
      </c>
      <c r="E1090" s="2"/>
      <c r="F1090"/>
      <c r="G1090" t="s">
        <v>299</v>
      </c>
      <c r="H1090" t="s">
        <v>299</v>
      </c>
      <c r="I1090"/>
    </row>
    <row r="1091" spans="1:9">
      <c r="A1091" t="s">
        <v>1136</v>
      </c>
      <c r="B1091" s="1" t="str">
        <f>"20106225.2"</f>
        <v>20106225.2</v>
      </c>
      <c r="C1091" t="s">
        <v>1146</v>
      </c>
      <c r="D1091" t="s">
        <v>1225</v>
      </c>
      <c r="E1091" s="2"/>
      <c r="F1091"/>
      <c r="G1091" t="s">
        <v>299</v>
      </c>
      <c r="H1091" t="s">
        <v>218</v>
      </c>
      <c r="I1091"/>
    </row>
    <row r="1092" spans="1:9">
      <c r="A1092" t="s">
        <v>1136</v>
      </c>
      <c r="B1092" s="1" t="str">
        <f>"20159856"</f>
        <v>20159856</v>
      </c>
      <c r="C1092" t="s">
        <v>1146</v>
      </c>
      <c r="D1092" t="s">
        <v>1226</v>
      </c>
      <c r="E1092" s="2"/>
      <c r="F1092"/>
      <c r="G1092" t="s">
        <v>516</v>
      </c>
      <c r="H1092" t="s">
        <v>516</v>
      </c>
      <c r="I1092"/>
    </row>
    <row r="1093" spans="1:9">
      <c r="A1093" t="s">
        <v>1136</v>
      </c>
      <c r="B1093" s="1" t="str">
        <f>"20159856.2"</f>
        <v>20159856.2</v>
      </c>
      <c r="C1093" t="s">
        <v>1146</v>
      </c>
      <c r="D1093" t="s">
        <v>1226</v>
      </c>
      <c r="E1093" s="2"/>
      <c r="F1093"/>
      <c r="G1093" t="s">
        <v>516</v>
      </c>
      <c r="H1093" t="s">
        <v>517</v>
      </c>
      <c r="I1093"/>
    </row>
    <row r="1094" spans="1:9">
      <c r="A1094" t="s">
        <v>1136</v>
      </c>
      <c r="B1094" s="1" t="str">
        <f>"20045654"</f>
        <v>20045654</v>
      </c>
      <c r="C1094" t="s">
        <v>1146</v>
      </c>
      <c r="D1094" t="s">
        <v>1227</v>
      </c>
      <c r="E1094" s="2"/>
      <c r="F1094" t="s">
        <v>1228</v>
      </c>
      <c r="G1094" t="s">
        <v>571</v>
      </c>
      <c r="H1094" t="s">
        <v>571</v>
      </c>
      <c r="I1094"/>
    </row>
    <row r="1095" spans="1:9">
      <c r="A1095" t="s">
        <v>1136</v>
      </c>
      <c r="B1095" s="1" t="str">
        <f>"20045654.2"</f>
        <v>20045654.2</v>
      </c>
      <c r="C1095" t="s">
        <v>1146</v>
      </c>
      <c r="D1095" t="s">
        <v>1227</v>
      </c>
      <c r="E1095" s="2"/>
      <c r="F1095" t="s">
        <v>1228</v>
      </c>
      <c r="G1095" t="s">
        <v>571</v>
      </c>
      <c r="H1095" t="s">
        <v>517</v>
      </c>
      <c r="I1095"/>
    </row>
    <row r="1096" spans="1:9">
      <c r="A1096" t="s">
        <v>1136</v>
      </c>
      <c r="B1096" s="1" t="str">
        <f>"20158491"</f>
        <v>20158491</v>
      </c>
      <c r="C1096" t="s">
        <v>1146</v>
      </c>
      <c r="D1096" t="s">
        <v>1229</v>
      </c>
      <c r="E1096" s="2"/>
      <c r="F1096"/>
      <c r="G1096" t="s">
        <v>516</v>
      </c>
      <c r="H1096" t="s">
        <v>516</v>
      </c>
      <c r="I1096"/>
    </row>
    <row r="1097" spans="1:9">
      <c r="A1097" t="s">
        <v>1136</v>
      </c>
      <c r="B1097" s="1" t="str">
        <f>"20158491.2"</f>
        <v>20158491.2</v>
      </c>
      <c r="C1097" t="s">
        <v>1146</v>
      </c>
      <c r="D1097" t="s">
        <v>1229</v>
      </c>
      <c r="E1097" s="2"/>
      <c r="F1097"/>
      <c r="G1097" t="s">
        <v>516</v>
      </c>
      <c r="H1097" t="s">
        <v>517</v>
      </c>
      <c r="I1097"/>
    </row>
    <row r="1098" spans="1:9">
      <c r="A1098" t="s">
        <v>1136</v>
      </c>
      <c r="B1098" s="1" t="str">
        <f>"20676223"</f>
        <v>20676223</v>
      </c>
      <c r="C1098" t="s">
        <v>1146</v>
      </c>
      <c r="D1098" t="s">
        <v>1230</v>
      </c>
      <c r="E1098" s="2"/>
      <c r="F1098"/>
      <c r="G1098" t="s">
        <v>616</v>
      </c>
      <c r="H1098" t="s">
        <v>616</v>
      </c>
      <c r="I1098"/>
    </row>
    <row r="1099" spans="1:9">
      <c r="A1099" t="s">
        <v>1136</v>
      </c>
      <c r="B1099" s="1" t="str">
        <f>"20676223.2"</f>
        <v>20676223.2</v>
      </c>
      <c r="C1099" t="s">
        <v>1146</v>
      </c>
      <c r="D1099" t="s">
        <v>1230</v>
      </c>
      <c r="E1099" s="2"/>
      <c r="F1099"/>
      <c r="G1099" t="s">
        <v>616</v>
      </c>
      <c r="H1099" t="s">
        <v>517</v>
      </c>
      <c r="I1099"/>
    </row>
    <row r="1100" spans="1:9">
      <c r="A1100" t="s">
        <v>1136</v>
      </c>
      <c r="B1100" s="1" t="str">
        <f>"20855604"</f>
        <v>20855604</v>
      </c>
      <c r="C1100" t="s">
        <v>1146</v>
      </c>
      <c r="D1100" t="s">
        <v>1231</v>
      </c>
      <c r="E1100" s="2"/>
      <c r="F1100" t="s">
        <v>1026</v>
      </c>
      <c r="G1100" t="s">
        <v>232</v>
      </c>
      <c r="H1100" t="s">
        <v>232</v>
      </c>
      <c r="I1100"/>
    </row>
    <row r="1101" spans="1:9">
      <c r="A1101" t="s">
        <v>1136</v>
      </c>
      <c r="B1101" s="1" t="str">
        <f>"20855604.2"</f>
        <v>20855604.2</v>
      </c>
      <c r="C1101" t="s">
        <v>1146</v>
      </c>
      <c r="D1101" t="s">
        <v>1231</v>
      </c>
      <c r="E1101" s="2"/>
      <c r="F1101" t="s">
        <v>1026</v>
      </c>
      <c r="G1101" t="s">
        <v>232</v>
      </c>
      <c r="H1101" t="s">
        <v>218</v>
      </c>
      <c r="I1101"/>
    </row>
    <row r="1102" spans="1:9">
      <c r="A1102" t="s">
        <v>1136</v>
      </c>
      <c r="B1102" s="1" t="str">
        <f>"20015794"</f>
        <v>20015794</v>
      </c>
      <c r="C1102" t="s">
        <v>1146</v>
      </c>
      <c r="D1102" t="s">
        <v>1232</v>
      </c>
      <c r="E1102" s="2"/>
      <c r="F1102" t="s">
        <v>1026</v>
      </c>
      <c r="G1102" t="s">
        <v>232</v>
      </c>
      <c r="H1102" t="s">
        <v>232</v>
      </c>
      <c r="I1102"/>
    </row>
    <row r="1103" spans="1:9">
      <c r="A1103" t="s">
        <v>1136</v>
      </c>
      <c r="B1103" s="1" t="str">
        <f>"20015794.2"</f>
        <v>20015794.2</v>
      </c>
      <c r="C1103" t="s">
        <v>1146</v>
      </c>
      <c r="D1103" t="s">
        <v>1232</v>
      </c>
      <c r="E1103" s="2"/>
      <c r="F1103" t="s">
        <v>1026</v>
      </c>
      <c r="G1103" t="s">
        <v>232</v>
      </c>
      <c r="H1103" t="s">
        <v>218</v>
      </c>
      <c r="I1103"/>
    </row>
    <row r="1104" spans="1:9">
      <c r="A1104" t="s">
        <v>1136</v>
      </c>
      <c r="B1104" s="1" t="str">
        <f>"20064037"</f>
        <v>20064037</v>
      </c>
      <c r="C1104" t="s">
        <v>1146</v>
      </c>
      <c r="D1104" t="s">
        <v>1233</v>
      </c>
      <c r="E1104" s="2"/>
      <c r="F1104" t="s">
        <v>1148</v>
      </c>
      <c r="G1104" t="s">
        <v>616</v>
      </c>
      <c r="H1104" t="s">
        <v>616</v>
      </c>
      <c r="I1104"/>
    </row>
    <row r="1105" spans="1:9">
      <c r="A1105" t="s">
        <v>1136</v>
      </c>
      <c r="B1105" s="1" t="str">
        <f>"20064037.2"</f>
        <v>20064037.2</v>
      </c>
      <c r="C1105" t="s">
        <v>1146</v>
      </c>
      <c r="D1105" t="s">
        <v>1233</v>
      </c>
      <c r="E1105" s="2"/>
      <c r="F1105" t="s">
        <v>1148</v>
      </c>
      <c r="G1105" t="s">
        <v>616</v>
      </c>
      <c r="H1105" t="s">
        <v>517</v>
      </c>
      <c r="I1105"/>
    </row>
    <row r="1106" spans="1:9">
      <c r="A1106" t="s">
        <v>1136</v>
      </c>
      <c r="B1106" s="1" t="str">
        <f>"20086039"</f>
        <v>20086039</v>
      </c>
      <c r="C1106" t="s">
        <v>407</v>
      </c>
      <c r="D1106" t="s">
        <v>1234</v>
      </c>
      <c r="E1106" s="2"/>
      <c r="F1106" t="s">
        <v>1235</v>
      </c>
      <c r="G1106" t="s">
        <v>1077</v>
      </c>
      <c r="H1106" t="s">
        <v>1077</v>
      </c>
      <c r="I1106"/>
    </row>
    <row r="1107" spans="1:9">
      <c r="A1107" t="s">
        <v>1136</v>
      </c>
      <c r="B1107" s="1" t="str">
        <f>"20198169"</f>
        <v>20198169</v>
      </c>
      <c r="C1107" t="s">
        <v>407</v>
      </c>
      <c r="D1107" t="s">
        <v>1236</v>
      </c>
      <c r="E1107" s="2"/>
      <c r="F1107" t="s">
        <v>1237</v>
      </c>
      <c r="G1107" t="s">
        <v>1077</v>
      </c>
      <c r="H1107" t="s">
        <v>1077</v>
      </c>
      <c r="I1107"/>
    </row>
    <row r="1108" spans="1:9">
      <c r="A1108" t="s">
        <v>1136</v>
      </c>
      <c r="B1108" s="1" t="str">
        <f>"20202651"</f>
        <v>20202651</v>
      </c>
      <c r="C1108" t="s">
        <v>407</v>
      </c>
      <c r="D1108" t="s">
        <v>1238</v>
      </c>
      <c r="E1108" s="2"/>
      <c r="F1108" t="s">
        <v>1235</v>
      </c>
      <c r="G1108" t="s">
        <v>1077</v>
      </c>
      <c r="H1108" t="s">
        <v>1077</v>
      </c>
      <c r="I1108"/>
    </row>
    <row r="1109" spans="1:9">
      <c r="A1109" t="s">
        <v>1136</v>
      </c>
      <c r="B1109" s="1" t="str">
        <f>"20793721"</f>
        <v>20793721</v>
      </c>
      <c r="C1109" t="s">
        <v>407</v>
      </c>
      <c r="D1109" t="s">
        <v>1239</v>
      </c>
      <c r="E1109" s="2"/>
      <c r="F1109" t="s">
        <v>1240</v>
      </c>
      <c r="G1109" t="s">
        <v>1077</v>
      </c>
      <c r="H1109" t="s">
        <v>1077</v>
      </c>
      <c r="I1109"/>
    </row>
    <row r="1110" spans="1:9">
      <c r="A1110" t="s">
        <v>1136</v>
      </c>
      <c r="B1110" s="1" t="str">
        <f>"20112356"</f>
        <v>20112356</v>
      </c>
      <c r="C1110" t="s">
        <v>407</v>
      </c>
      <c r="D1110" t="s">
        <v>1241</v>
      </c>
      <c r="E1110" s="2"/>
      <c r="F1110" t="s">
        <v>1242</v>
      </c>
      <c r="G1110" t="s">
        <v>1077</v>
      </c>
      <c r="H1110" t="s">
        <v>1077</v>
      </c>
      <c r="I1110"/>
    </row>
    <row r="1111" spans="1:9">
      <c r="A1111" t="s">
        <v>1136</v>
      </c>
      <c r="B1111" s="1" t="str">
        <f>"20072322"</f>
        <v>20072322</v>
      </c>
      <c r="C1111" t="s">
        <v>407</v>
      </c>
      <c r="D1111" t="s">
        <v>1243</v>
      </c>
      <c r="E1111" s="2"/>
      <c r="F1111" t="s">
        <v>1244</v>
      </c>
      <c r="G1111" t="s">
        <v>1077</v>
      </c>
      <c r="H1111" t="s">
        <v>1077</v>
      </c>
      <c r="I1111"/>
    </row>
    <row r="1112" spans="1:9">
      <c r="A1112" t="s">
        <v>1136</v>
      </c>
      <c r="B1112" s="1" t="str">
        <f>"20055059"</f>
        <v>20055059</v>
      </c>
      <c r="C1112" t="s">
        <v>407</v>
      </c>
      <c r="D1112" t="s">
        <v>1245</v>
      </c>
      <c r="E1112" s="2"/>
      <c r="F1112" t="s">
        <v>667</v>
      </c>
      <c r="G1112" t="s">
        <v>1077</v>
      </c>
      <c r="H1112" t="s">
        <v>1077</v>
      </c>
      <c r="I1112"/>
    </row>
    <row r="1113" spans="1:9">
      <c r="A1113" t="s">
        <v>1136</v>
      </c>
      <c r="B1113" s="1" t="str">
        <f>"20143319"</f>
        <v>20143319</v>
      </c>
      <c r="C1113" t="s">
        <v>407</v>
      </c>
      <c r="D1113" t="s">
        <v>1246</v>
      </c>
      <c r="E1113" s="2"/>
      <c r="F1113" t="s">
        <v>1247</v>
      </c>
      <c r="G1113" t="s">
        <v>1077</v>
      </c>
      <c r="H1113" t="s">
        <v>1077</v>
      </c>
      <c r="I1113"/>
    </row>
    <row r="1114" spans="1:9">
      <c r="A1114" t="s">
        <v>1136</v>
      </c>
      <c r="B1114" s="1" t="str">
        <f>"20249038"</f>
        <v>20249038</v>
      </c>
      <c r="C1114" t="s">
        <v>407</v>
      </c>
      <c r="D1114" t="s">
        <v>1248</v>
      </c>
      <c r="E1114" s="2"/>
      <c r="F1114"/>
      <c r="G1114" t="s">
        <v>533</v>
      </c>
      <c r="H1114" t="s">
        <v>533</v>
      </c>
      <c r="I1114"/>
    </row>
    <row r="1115" spans="1:9">
      <c r="A1115" t="s">
        <v>1136</v>
      </c>
      <c r="B1115" s="1" t="str">
        <f>"20019990"</f>
        <v>20019990</v>
      </c>
      <c r="C1115" t="s">
        <v>407</v>
      </c>
      <c r="D1115" t="s">
        <v>1249</v>
      </c>
      <c r="E1115" s="2"/>
      <c r="F1115"/>
      <c r="G1115" t="s">
        <v>227</v>
      </c>
      <c r="H1115" t="s">
        <v>227</v>
      </c>
      <c r="I1115"/>
    </row>
    <row r="1116" spans="1:9">
      <c r="A1116" t="s">
        <v>1136</v>
      </c>
      <c r="B1116" s="1" t="str">
        <f>"20019990.2"</f>
        <v>20019990.2</v>
      </c>
      <c r="C1116" t="s">
        <v>407</v>
      </c>
      <c r="D1116" t="s">
        <v>1249</v>
      </c>
      <c r="E1116" s="2"/>
      <c r="F1116"/>
      <c r="G1116" t="s">
        <v>227</v>
      </c>
      <c r="H1116" t="s">
        <v>218</v>
      </c>
      <c r="I1116"/>
    </row>
    <row r="1117" spans="1:9">
      <c r="A1117" t="s">
        <v>1136</v>
      </c>
      <c r="B1117" s="1" t="str">
        <f>"20018610"</f>
        <v>20018610</v>
      </c>
      <c r="C1117" t="s">
        <v>407</v>
      </c>
      <c r="D1117" t="s">
        <v>1250</v>
      </c>
      <c r="E1117" s="2"/>
      <c r="F1117"/>
      <c r="G1117" t="s">
        <v>795</v>
      </c>
      <c r="H1117" t="s">
        <v>795</v>
      </c>
      <c r="I1117"/>
    </row>
    <row r="1118" spans="1:9">
      <c r="A1118" t="s">
        <v>1136</v>
      </c>
      <c r="B1118" s="1" t="str">
        <f>"20018610.2"</f>
        <v>20018610.2</v>
      </c>
      <c r="C1118" t="s">
        <v>407</v>
      </c>
      <c r="D1118" t="s">
        <v>1250</v>
      </c>
      <c r="E1118" s="2"/>
      <c r="F1118"/>
      <c r="G1118" t="s">
        <v>795</v>
      </c>
      <c r="H1118" t="s">
        <v>218</v>
      </c>
      <c r="I1118"/>
    </row>
    <row r="1119" spans="1:9">
      <c r="A1119" t="s">
        <v>1136</v>
      </c>
      <c r="B1119" s="1" t="str">
        <f>"20020361"</f>
        <v>20020361</v>
      </c>
      <c r="C1119" t="s">
        <v>407</v>
      </c>
      <c r="D1119" t="s">
        <v>1251</v>
      </c>
      <c r="E1119" s="2"/>
      <c r="F1119" t="s">
        <v>79</v>
      </c>
      <c r="G1119" t="s">
        <v>620</v>
      </c>
      <c r="H1119" t="s">
        <v>620</v>
      </c>
      <c r="I1119"/>
    </row>
    <row r="1120" spans="1:9">
      <c r="A1120" t="s">
        <v>1136</v>
      </c>
      <c r="B1120" s="1" t="str">
        <f>"20020361.2"</f>
        <v>20020361.2</v>
      </c>
      <c r="C1120" t="s">
        <v>407</v>
      </c>
      <c r="D1120" t="s">
        <v>1251</v>
      </c>
      <c r="E1120" s="2"/>
      <c r="F1120" t="s">
        <v>79</v>
      </c>
      <c r="G1120" t="s">
        <v>620</v>
      </c>
      <c r="H1120" t="s">
        <v>517</v>
      </c>
      <c r="I1120"/>
    </row>
    <row r="1121" spans="1:9">
      <c r="A1121" t="s">
        <v>1136</v>
      </c>
      <c r="B1121" s="1" t="str">
        <f>"20086282"</f>
        <v>20086282</v>
      </c>
      <c r="C1121" t="s">
        <v>407</v>
      </c>
      <c r="D1121" t="s">
        <v>1252</v>
      </c>
      <c r="E1121" s="2"/>
      <c r="F1121"/>
      <c r="G1121" t="s">
        <v>243</v>
      </c>
      <c r="H1121" t="s">
        <v>243</v>
      </c>
      <c r="I1121"/>
    </row>
    <row r="1122" spans="1:9">
      <c r="A1122" t="s">
        <v>1136</v>
      </c>
      <c r="B1122" s="1" t="str">
        <f>"20086282.2"</f>
        <v>20086282.2</v>
      </c>
      <c r="C1122" t="s">
        <v>407</v>
      </c>
      <c r="D1122" t="s">
        <v>1252</v>
      </c>
      <c r="E1122" s="2"/>
      <c r="F1122"/>
      <c r="G1122" t="s">
        <v>243</v>
      </c>
      <c r="H1122" t="s">
        <v>218</v>
      </c>
      <c r="I1122"/>
    </row>
    <row r="1123" spans="1:9">
      <c r="A1123" t="s">
        <v>1136</v>
      </c>
      <c r="B1123" s="1" t="str">
        <f>"20522070"</f>
        <v>20522070</v>
      </c>
      <c r="C1123" t="s">
        <v>407</v>
      </c>
      <c r="D1123" t="s">
        <v>1253</v>
      </c>
      <c r="E1123" s="2"/>
      <c r="F1123"/>
      <c r="G1123" t="s">
        <v>623</v>
      </c>
      <c r="H1123" t="s">
        <v>623</v>
      </c>
      <c r="I1123"/>
    </row>
    <row r="1124" spans="1:9">
      <c r="A1124" t="s">
        <v>1136</v>
      </c>
      <c r="B1124" s="1" t="str">
        <f>"20522070.2"</f>
        <v>20522070.2</v>
      </c>
      <c r="C1124" t="s">
        <v>407</v>
      </c>
      <c r="D1124" t="s">
        <v>1253</v>
      </c>
      <c r="E1124" s="2"/>
      <c r="F1124"/>
      <c r="G1124" t="s">
        <v>623</v>
      </c>
      <c r="H1124" t="s">
        <v>218</v>
      </c>
      <c r="I1124"/>
    </row>
    <row r="1125" spans="1:9">
      <c r="A1125" t="s">
        <v>1136</v>
      </c>
      <c r="B1125" s="1" t="str">
        <f>"20103583"</f>
        <v>20103583</v>
      </c>
      <c r="C1125" t="s">
        <v>407</v>
      </c>
      <c r="D1125" t="s">
        <v>1254</v>
      </c>
      <c r="E1125" s="2"/>
      <c r="F1125" t="s">
        <v>1128</v>
      </c>
      <c r="G1125" t="s">
        <v>922</v>
      </c>
      <c r="H1125" t="s">
        <v>922</v>
      </c>
      <c r="I1125"/>
    </row>
    <row r="1126" spans="1:9">
      <c r="A1126" t="s">
        <v>1136</v>
      </c>
      <c r="B1126" s="1" t="str">
        <f>"20103583.2"</f>
        <v>20103583.2</v>
      </c>
      <c r="C1126" t="s">
        <v>407</v>
      </c>
      <c r="D1126" t="s">
        <v>1254</v>
      </c>
      <c r="E1126" s="2"/>
      <c r="F1126" t="s">
        <v>1128</v>
      </c>
      <c r="G1126" t="s">
        <v>922</v>
      </c>
      <c r="H1126" t="s">
        <v>517</v>
      </c>
      <c r="I1126"/>
    </row>
    <row r="1127" spans="1:9">
      <c r="A1127" t="s">
        <v>1136</v>
      </c>
      <c r="B1127" s="1" t="str">
        <f>"20097487"</f>
        <v>20097487</v>
      </c>
      <c r="C1127" t="s">
        <v>407</v>
      </c>
      <c r="D1127" t="s">
        <v>1255</v>
      </c>
      <c r="E1127" s="2"/>
      <c r="F1127" t="s">
        <v>56</v>
      </c>
      <c r="G1127" t="s">
        <v>886</v>
      </c>
      <c r="H1127" t="s">
        <v>886</v>
      </c>
      <c r="I1127"/>
    </row>
    <row r="1128" spans="1:9">
      <c r="A1128" t="s">
        <v>1136</v>
      </c>
      <c r="B1128" s="1" t="str">
        <f>"20097487.2"</f>
        <v>20097487.2</v>
      </c>
      <c r="C1128" t="s">
        <v>407</v>
      </c>
      <c r="D1128" t="s">
        <v>1255</v>
      </c>
      <c r="E1128" s="2"/>
      <c r="F1128" t="s">
        <v>56</v>
      </c>
      <c r="G1128" t="s">
        <v>886</v>
      </c>
      <c r="H1128" t="s">
        <v>517</v>
      </c>
      <c r="I1128"/>
    </row>
    <row r="1129" spans="1:9">
      <c r="A1129" t="s">
        <v>1136</v>
      </c>
      <c r="B1129" s="1" t="str">
        <f>"20913212"</f>
        <v>20913212</v>
      </c>
      <c r="C1129" t="s">
        <v>407</v>
      </c>
      <c r="D1129" t="s">
        <v>1256</v>
      </c>
      <c r="E1129" s="2"/>
      <c r="F1129"/>
      <c r="G1129" t="s">
        <v>616</v>
      </c>
      <c r="H1129" t="s">
        <v>616</v>
      </c>
      <c r="I1129"/>
    </row>
    <row r="1130" spans="1:9">
      <c r="A1130" t="s">
        <v>1136</v>
      </c>
      <c r="B1130" s="1" t="str">
        <f>"20913212.2"</f>
        <v>20913212.2</v>
      </c>
      <c r="C1130" t="s">
        <v>407</v>
      </c>
      <c r="D1130" t="s">
        <v>1256</v>
      </c>
      <c r="E1130" s="2"/>
      <c r="F1130"/>
      <c r="G1130" t="s">
        <v>616</v>
      </c>
      <c r="H1130" t="s">
        <v>517</v>
      </c>
      <c r="I1130"/>
    </row>
    <row r="1131" spans="1:9">
      <c r="A1131" t="s">
        <v>1136</v>
      </c>
      <c r="B1131" s="1" t="str">
        <f>"20202620"</f>
        <v>20202620</v>
      </c>
      <c r="C1131" t="s">
        <v>407</v>
      </c>
      <c r="D1131" t="s">
        <v>1257</v>
      </c>
      <c r="E1131" s="2"/>
      <c r="F1131"/>
      <c r="G1131" t="s">
        <v>868</v>
      </c>
      <c r="H1131" t="s">
        <v>868</v>
      </c>
      <c r="I1131"/>
    </row>
    <row r="1132" spans="1:9">
      <c r="A1132" t="s">
        <v>1136</v>
      </c>
      <c r="B1132" s="1" t="str">
        <f>"20202620.2"</f>
        <v>20202620.2</v>
      </c>
      <c r="C1132" t="s">
        <v>407</v>
      </c>
      <c r="D1132" t="s">
        <v>1257</v>
      </c>
      <c r="E1132" s="2"/>
      <c r="F1132"/>
      <c r="G1132" t="s">
        <v>868</v>
      </c>
      <c r="H1132" t="s">
        <v>218</v>
      </c>
      <c r="I1132"/>
    </row>
    <row r="1133" spans="1:9">
      <c r="A1133" t="s">
        <v>1136</v>
      </c>
      <c r="B1133" s="1" t="str">
        <f>"20022846"</f>
        <v>20022846</v>
      </c>
      <c r="C1133" t="s">
        <v>407</v>
      </c>
      <c r="D1133" t="s">
        <v>1258</v>
      </c>
      <c r="E1133" s="2"/>
      <c r="F1133"/>
      <c r="G1133" t="s">
        <v>1259</v>
      </c>
      <c r="H1133" t="s">
        <v>1259</v>
      </c>
      <c r="I1133"/>
    </row>
    <row r="1134" spans="1:9">
      <c r="A1134" t="s">
        <v>1136</v>
      </c>
      <c r="B1134" s="1" t="str">
        <f>"20022846.2"</f>
        <v>20022846.2</v>
      </c>
      <c r="C1134" t="s">
        <v>407</v>
      </c>
      <c r="D1134" t="s">
        <v>1258</v>
      </c>
      <c r="E1134" s="2"/>
      <c r="F1134"/>
      <c r="G1134" t="s">
        <v>1259</v>
      </c>
      <c r="H1134" t="s">
        <v>517</v>
      </c>
      <c r="I1134"/>
    </row>
    <row r="1135" spans="1:9">
      <c r="A1135" t="s">
        <v>1136</v>
      </c>
      <c r="B1135" s="1" t="str">
        <f>"20018672"</f>
        <v>20018672</v>
      </c>
      <c r="C1135" t="s">
        <v>407</v>
      </c>
      <c r="D1135" t="s">
        <v>1169</v>
      </c>
      <c r="E1135" s="2"/>
      <c r="F1135" t="s">
        <v>1260</v>
      </c>
      <c r="G1135" t="s">
        <v>1261</v>
      </c>
      <c r="H1135" t="s">
        <v>1261</v>
      </c>
      <c r="I1135"/>
    </row>
    <row r="1136" spans="1:9">
      <c r="A1136" t="s">
        <v>1136</v>
      </c>
      <c r="B1136" s="1" t="str">
        <f>"20018672.2"</f>
        <v>20018672.2</v>
      </c>
      <c r="C1136" t="s">
        <v>407</v>
      </c>
      <c r="D1136" t="s">
        <v>1169</v>
      </c>
      <c r="E1136" s="2"/>
      <c r="F1136" t="s">
        <v>1260</v>
      </c>
      <c r="G1136" t="s">
        <v>1261</v>
      </c>
      <c r="H1136" t="s">
        <v>517</v>
      </c>
      <c r="I1136"/>
    </row>
    <row r="1137" spans="1:9">
      <c r="A1137" t="s">
        <v>1136</v>
      </c>
      <c r="B1137" s="1" t="str">
        <f>"20541019"</f>
        <v>20541019</v>
      </c>
      <c r="C1137" t="s">
        <v>407</v>
      </c>
      <c r="D1137" t="s">
        <v>1262</v>
      </c>
      <c r="E1137" s="2"/>
      <c r="F1137" t="s">
        <v>107</v>
      </c>
      <c r="G1137" t="s">
        <v>695</v>
      </c>
      <c r="H1137" t="s">
        <v>695</v>
      </c>
      <c r="I1137"/>
    </row>
    <row r="1138" spans="1:9">
      <c r="A1138" t="s">
        <v>1136</v>
      </c>
      <c r="B1138" s="1" t="str">
        <f>"20541019.2"</f>
        <v>20541019.2</v>
      </c>
      <c r="C1138" t="s">
        <v>407</v>
      </c>
      <c r="D1138" t="s">
        <v>1262</v>
      </c>
      <c r="E1138" s="2"/>
      <c r="F1138" t="s">
        <v>107</v>
      </c>
      <c r="G1138" t="s">
        <v>695</v>
      </c>
      <c r="H1138" t="s">
        <v>517</v>
      </c>
      <c r="I1138"/>
    </row>
    <row r="1139" spans="1:9">
      <c r="A1139" t="s">
        <v>1136</v>
      </c>
      <c r="B1139" s="1" t="str">
        <f>"20019211"</f>
        <v>20019211</v>
      </c>
      <c r="C1139" t="s">
        <v>407</v>
      </c>
      <c r="D1139" t="s">
        <v>1170</v>
      </c>
      <c r="E1139" s="2"/>
      <c r="F1139"/>
      <c r="G1139" t="s">
        <v>614</v>
      </c>
      <c r="H1139" t="s">
        <v>614</v>
      </c>
      <c r="I1139"/>
    </row>
    <row r="1140" spans="1:9">
      <c r="A1140" t="s">
        <v>1136</v>
      </c>
      <c r="B1140" s="1" t="str">
        <f>"20019211.2"</f>
        <v>20019211.2</v>
      </c>
      <c r="C1140" t="s">
        <v>407</v>
      </c>
      <c r="D1140" t="s">
        <v>1170</v>
      </c>
      <c r="E1140" s="2"/>
      <c r="F1140"/>
      <c r="G1140" t="s">
        <v>614</v>
      </c>
      <c r="H1140" t="s">
        <v>517</v>
      </c>
      <c r="I1140"/>
    </row>
    <row r="1141" spans="1:9">
      <c r="A1141" t="s">
        <v>1136</v>
      </c>
      <c r="B1141" s="1" t="str">
        <f>"20815998"</f>
        <v>20815998</v>
      </c>
      <c r="C1141" t="s">
        <v>407</v>
      </c>
      <c r="D1141" t="s">
        <v>1263</v>
      </c>
      <c r="E1141" s="2"/>
      <c r="F1141"/>
      <c r="G1141" t="s">
        <v>613</v>
      </c>
      <c r="H1141" t="s">
        <v>613</v>
      </c>
      <c r="I1141"/>
    </row>
    <row r="1142" spans="1:9">
      <c r="A1142" t="s">
        <v>1136</v>
      </c>
      <c r="B1142" s="1" t="str">
        <f>"20815998.2"</f>
        <v>20815998.2</v>
      </c>
      <c r="C1142" t="s">
        <v>407</v>
      </c>
      <c r="D1142" t="s">
        <v>1264</v>
      </c>
      <c r="E1142" s="2"/>
      <c r="F1142"/>
      <c r="G1142" t="s">
        <v>613</v>
      </c>
      <c r="H1142" t="s">
        <v>517</v>
      </c>
      <c r="I1142"/>
    </row>
    <row r="1143" spans="1:9">
      <c r="A1143" t="s">
        <v>1136</v>
      </c>
      <c r="B1143" s="1" t="str">
        <f>"20044541"</f>
        <v>20044541</v>
      </c>
      <c r="C1143" t="s">
        <v>407</v>
      </c>
      <c r="D1143" t="s">
        <v>1174</v>
      </c>
      <c r="E1143" s="2"/>
      <c r="F1143"/>
      <c r="G1143" t="s">
        <v>1265</v>
      </c>
      <c r="H1143" t="s">
        <v>1265</v>
      </c>
      <c r="I1143"/>
    </row>
    <row r="1144" spans="1:9">
      <c r="A1144" t="s">
        <v>1136</v>
      </c>
      <c r="B1144" s="1" t="str">
        <f>"20044541.2"</f>
        <v>20044541.2</v>
      </c>
      <c r="C1144" t="s">
        <v>407</v>
      </c>
      <c r="D1144" t="s">
        <v>1174</v>
      </c>
      <c r="E1144" s="2"/>
      <c r="F1144"/>
      <c r="G1144" t="s">
        <v>1265</v>
      </c>
      <c r="H1144" t="s">
        <v>517</v>
      </c>
      <c r="I1144"/>
    </row>
    <row r="1145" spans="1:9">
      <c r="A1145" t="s">
        <v>1136</v>
      </c>
      <c r="B1145" s="1" t="str">
        <f>"20777586"</f>
        <v>20777586</v>
      </c>
      <c r="C1145" t="s">
        <v>407</v>
      </c>
      <c r="D1145" t="s">
        <v>1266</v>
      </c>
      <c r="E1145" s="2"/>
      <c r="F1145"/>
      <c r="G1145" t="s">
        <v>1259</v>
      </c>
      <c r="H1145" t="s">
        <v>1259</v>
      </c>
      <c r="I1145"/>
    </row>
    <row r="1146" spans="1:9">
      <c r="A1146" t="s">
        <v>1136</v>
      </c>
      <c r="B1146" s="1" t="str">
        <f>"20777586.2"</f>
        <v>20777586.2</v>
      </c>
      <c r="C1146" t="s">
        <v>407</v>
      </c>
      <c r="D1146" t="s">
        <v>1266</v>
      </c>
      <c r="E1146" s="2"/>
      <c r="F1146"/>
      <c r="G1146" t="s">
        <v>1259</v>
      </c>
      <c r="H1146" t="s">
        <v>517</v>
      </c>
      <c r="I1146"/>
    </row>
    <row r="1147" spans="1:9">
      <c r="A1147" t="s">
        <v>1136</v>
      </c>
      <c r="B1147" s="1" t="str">
        <f>"20256043"</f>
        <v>20256043</v>
      </c>
      <c r="C1147" t="s">
        <v>407</v>
      </c>
      <c r="D1147" t="s">
        <v>1267</v>
      </c>
      <c r="E1147" s="2"/>
      <c r="F1147"/>
      <c r="G1147" t="s">
        <v>1259</v>
      </c>
      <c r="H1147" t="s">
        <v>1259</v>
      </c>
      <c r="I1147"/>
    </row>
    <row r="1148" spans="1:9">
      <c r="A1148" t="s">
        <v>1136</v>
      </c>
      <c r="B1148" s="1" t="str">
        <f>"20256043.2"</f>
        <v>20256043.2</v>
      </c>
      <c r="C1148" t="s">
        <v>407</v>
      </c>
      <c r="D1148" t="s">
        <v>1267</v>
      </c>
      <c r="E1148" s="2"/>
      <c r="F1148"/>
      <c r="G1148" t="s">
        <v>1268</v>
      </c>
      <c r="H1148" t="s">
        <v>517</v>
      </c>
      <c r="I1148"/>
    </row>
    <row r="1149" spans="1:9">
      <c r="A1149" t="s">
        <v>1136</v>
      </c>
      <c r="B1149" s="1" t="str">
        <f>"20262648"</f>
        <v>20262648</v>
      </c>
      <c r="C1149" t="s">
        <v>407</v>
      </c>
      <c r="D1149" t="s">
        <v>1269</v>
      </c>
      <c r="E1149" s="2"/>
      <c r="F1149"/>
      <c r="G1149" t="s">
        <v>516</v>
      </c>
      <c r="H1149" t="s">
        <v>516</v>
      </c>
      <c r="I1149"/>
    </row>
    <row r="1150" spans="1:9">
      <c r="A1150" t="s">
        <v>1136</v>
      </c>
      <c r="B1150" s="1" t="str">
        <f>"20262648.2"</f>
        <v>20262648.2</v>
      </c>
      <c r="C1150" t="s">
        <v>407</v>
      </c>
      <c r="D1150" t="s">
        <v>1269</v>
      </c>
      <c r="E1150" s="2"/>
      <c r="F1150"/>
      <c r="G1150" t="s">
        <v>516</v>
      </c>
      <c r="H1150" t="s">
        <v>517</v>
      </c>
      <c r="I1150"/>
    </row>
    <row r="1151" spans="1:9">
      <c r="A1151" t="s">
        <v>1136</v>
      </c>
      <c r="B1151" s="1" t="str">
        <f>"20022822"</f>
        <v>20022822</v>
      </c>
      <c r="C1151" t="s">
        <v>407</v>
      </c>
      <c r="D1151" t="s">
        <v>1270</v>
      </c>
      <c r="E1151" s="2"/>
      <c r="F1151"/>
      <c r="G1151" t="s">
        <v>868</v>
      </c>
      <c r="H1151" t="s">
        <v>868</v>
      </c>
      <c r="I1151"/>
    </row>
    <row r="1152" spans="1:9">
      <c r="A1152" t="s">
        <v>1136</v>
      </c>
      <c r="B1152" s="1" t="str">
        <f>"20022822.2"</f>
        <v>20022822.2</v>
      </c>
      <c r="C1152" t="s">
        <v>407</v>
      </c>
      <c r="D1152" t="s">
        <v>1270</v>
      </c>
      <c r="E1152" s="2"/>
      <c r="F1152"/>
      <c r="G1152" t="s">
        <v>868</v>
      </c>
      <c r="H1152" t="s">
        <v>218</v>
      </c>
      <c r="I1152"/>
    </row>
    <row r="1153" spans="1:9">
      <c r="A1153" t="s">
        <v>1136</v>
      </c>
      <c r="B1153" s="1" t="str">
        <f>"20104603"</f>
        <v>20104603</v>
      </c>
      <c r="C1153" t="s">
        <v>407</v>
      </c>
      <c r="D1153" t="s">
        <v>1271</v>
      </c>
      <c r="E1153" s="2"/>
      <c r="F1153" t="s">
        <v>1272</v>
      </c>
      <c r="G1153" t="s">
        <v>878</v>
      </c>
      <c r="H1153" t="s">
        <v>878</v>
      </c>
      <c r="I1153"/>
    </row>
    <row r="1154" spans="1:9">
      <c r="A1154" t="s">
        <v>1136</v>
      </c>
      <c r="B1154" s="1" t="str">
        <f>"20104603.2"</f>
        <v>20104603.2</v>
      </c>
      <c r="C1154" t="s">
        <v>407</v>
      </c>
      <c r="D1154" t="s">
        <v>1271</v>
      </c>
      <c r="E1154" s="2"/>
      <c r="F1154" t="s">
        <v>1272</v>
      </c>
      <c r="G1154" t="s">
        <v>878</v>
      </c>
      <c r="H1154" t="s">
        <v>517</v>
      </c>
      <c r="I1154"/>
    </row>
    <row r="1155" spans="1:9">
      <c r="A1155" t="s">
        <v>1136</v>
      </c>
      <c r="B1155" s="1" t="str">
        <f>"20022877"</f>
        <v>20022877</v>
      </c>
      <c r="C1155" t="s">
        <v>407</v>
      </c>
      <c r="D1155" t="s">
        <v>1273</v>
      </c>
      <c r="E1155" s="2"/>
      <c r="F1155"/>
      <c r="G1155" t="s">
        <v>1274</v>
      </c>
      <c r="H1155" t="s">
        <v>1274</v>
      </c>
      <c r="I1155"/>
    </row>
    <row r="1156" spans="1:9">
      <c r="A1156" t="s">
        <v>1136</v>
      </c>
      <c r="B1156" s="1" t="str">
        <f>"20022877.2"</f>
        <v>20022877.2</v>
      </c>
      <c r="C1156" t="s">
        <v>407</v>
      </c>
      <c r="D1156" t="s">
        <v>1273</v>
      </c>
      <c r="E1156" s="2"/>
      <c r="F1156"/>
      <c r="G1156" t="s">
        <v>1274</v>
      </c>
      <c r="H1156" t="s">
        <v>517</v>
      </c>
      <c r="I1156"/>
    </row>
    <row r="1157" spans="1:9">
      <c r="A1157" t="s">
        <v>1136</v>
      </c>
      <c r="B1157" s="1" t="str">
        <f>"20023157"</f>
        <v>20023157</v>
      </c>
      <c r="C1157" t="s">
        <v>407</v>
      </c>
      <c r="D1157" t="s">
        <v>1275</v>
      </c>
      <c r="E1157" s="2"/>
      <c r="F1157"/>
      <c r="G1157" t="s">
        <v>1276</v>
      </c>
      <c r="H1157" t="s">
        <v>1276</v>
      </c>
      <c r="I1157"/>
    </row>
    <row r="1158" spans="1:9">
      <c r="A1158" t="s">
        <v>1136</v>
      </c>
      <c r="B1158" s="1" t="str">
        <f>"20023157.2"</f>
        <v>20023157.2</v>
      </c>
      <c r="C1158" t="s">
        <v>407</v>
      </c>
      <c r="D1158" t="s">
        <v>1275</v>
      </c>
      <c r="E1158" s="2"/>
      <c r="F1158"/>
      <c r="G1158" t="s">
        <v>1276</v>
      </c>
      <c r="H1158" t="s">
        <v>517</v>
      </c>
      <c r="I1158"/>
    </row>
    <row r="1159" spans="1:9">
      <c r="A1159" t="s">
        <v>1136</v>
      </c>
      <c r="B1159" s="1" t="str">
        <f>"20284664"</f>
        <v>20284664</v>
      </c>
      <c r="C1159" t="s">
        <v>407</v>
      </c>
      <c r="D1159" t="s">
        <v>1277</v>
      </c>
      <c r="E1159" s="2"/>
      <c r="F1159" t="s">
        <v>1242</v>
      </c>
      <c r="G1159" t="s">
        <v>1261</v>
      </c>
      <c r="H1159" t="s">
        <v>1261</v>
      </c>
      <c r="I1159"/>
    </row>
    <row r="1160" spans="1:9">
      <c r="A1160" t="s">
        <v>1136</v>
      </c>
      <c r="B1160" s="1" t="str">
        <f>"20284664.2"</f>
        <v>20284664.2</v>
      </c>
      <c r="C1160" t="s">
        <v>407</v>
      </c>
      <c r="D1160" t="s">
        <v>1277</v>
      </c>
      <c r="E1160" s="2"/>
      <c r="F1160" t="s">
        <v>1242</v>
      </c>
      <c r="G1160" t="s">
        <v>1261</v>
      </c>
      <c r="H1160" t="s">
        <v>517</v>
      </c>
      <c r="I1160"/>
    </row>
    <row r="1161" spans="1:9">
      <c r="A1161" t="s">
        <v>1136</v>
      </c>
      <c r="B1161" s="1" t="str">
        <f>"20826192"</f>
        <v>20826192</v>
      </c>
      <c r="C1161" t="s">
        <v>407</v>
      </c>
      <c r="D1161" t="s">
        <v>1278</v>
      </c>
      <c r="E1161" s="2"/>
      <c r="F1161"/>
      <c r="G1161" t="s">
        <v>1276</v>
      </c>
      <c r="H1161" t="s">
        <v>1276</v>
      </c>
      <c r="I1161"/>
    </row>
    <row r="1162" spans="1:9">
      <c r="A1162" t="s">
        <v>1136</v>
      </c>
      <c r="B1162" s="1" t="str">
        <f>"20826192.2"</f>
        <v>20826192.2</v>
      </c>
      <c r="C1162" t="s">
        <v>407</v>
      </c>
      <c r="D1162" t="s">
        <v>1278</v>
      </c>
      <c r="E1162" s="2"/>
      <c r="F1162"/>
      <c r="G1162" t="s">
        <v>1276</v>
      </c>
      <c r="H1162" t="s">
        <v>517</v>
      </c>
      <c r="I1162"/>
    </row>
    <row r="1163" spans="1:9">
      <c r="A1163" t="s">
        <v>1136</v>
      </c>
      <c r="B1163" s="1" t="str">
        <f>"20097479.2"</f>
        <v>20097479.2</v>
      </c>
      <c r="C1163" t="s">
        <v>407</v>
      </c>
      <c r="D1163" t="s">
        <v>1182</v>
      </c>
      <c r="E1163" s="2"/>
      <c r="F1163"/>
      <c r="G1163" t="s">
        <v>886</v>
      </c>
      <c r="H1163" t="s">
        <v>517</v>
      </c>
      <c r="I1163"/>
    </row>
    <row r="1164" spans="1:9">
      <c r="A1164" t="s">
        <v>1136</v>
      </c>
      <c r="B1164" s="1" t="str">
        <f>"20097486"</f>
        <v>20097486</v>
      </c>
      <c r="C1164" t="s">
        <v>407</v>
      </c>
      <c r="D1164" t="s">
        <v>1184</v>
      </c>
      <c r="E1164" s="2"/>
      <c r="F1164" t="s">
        <v>677</v>
      </c>
      <c r="G1164" t="s">
        <v>1259</v>
      </c>
      <c r="H1164" t="s">
        <v>1259</v>
      </c>
      <c r="I1164"/>
    </row>
    <row r="1165" spans="1:9">
      <c r="A1165" t="s">
        <v>1136</v>
      </c>
      <c r="B1165" s="1" t="str">
        <f>"20097486.2"</f>
        <v>20097486.2</v>
      </c>
      <c r="C1165" t="s">
        <v>407</v>
      </c>
      <c r="D1165" t="s">
        <v>1184</v>
      </c>
      <c r="E1165" s="2"/>
      <c r="F1165" t="s">
        <v>677</v>
      </c>
      <c r="G1165" t="s">
        <v>1259</v>
      </c>
      <c r="H1165" t="s">
        <v>517</v>
      </c>
      <c r="I1165"/>
    </row>
    <row r="1166" spans="1:9">
      <c r="A1166" t="s">
        <v>1136</v>
      </c>
      <c r="B1166" s="1" t="str">
        <f>"20040741"</f>
        <v>20040741</v>
      </c>
      <c r="C1166" t="s">
        <v>407</v>
      </c>
      <c r="D1166" t="s">
        <v>1279</v>
      </c>
      <c r="E1166" s="2"/>
      <c r="F1166" t="s">
        <v>1181</v>
      </c>
      <c r="G1166" t="s">
        <v>1259</v>
      </c>
      <c r="H1166" t="s">
        <v>1259</v>
      </c>
      <c r="I1166"/>
    </row>
    <row r="1167" spans="1:9">
      <c r="A1167" t="s">
        <v>1136</v>
      </c>
      <c r="B1167" s="1" t="str">
        <f>"20040741.2"</f>
        <v>20040741.2</v>
      </c>
      <c r="C1167" t="s">
        <v>407</v>
      </c>
      <c r="D1167" t="s">
        <v>1279</v>
      </c>
      <c r="E1167" s="2"/>
      <c r="F1167" t="s">
        <v>1181</v>
      </c>
      <c r="G1167" t="s">
        <v>1259</v>
      </c>
      <c r="H1167" t="s">
        <v>517</v>
      </c>
      <c r="I1167"/>
    </row>
    <row r="1168" spans="1:9">
      <c r="A1168" t="s">
        <v>1136</v>
      </c>
      <c r="B1168" s="1" t="str">
        <f>"20095024"</f>
        <v>20095024</v>
      </c>
      <c r="C1168" t="s">
        <v>407</v>
      </c>
      <c r="D1168" t="s">
        <v>1185</v>
      </c>
      <c r="E1168" s="2"/>
      <c r="F1168"/>
      <c r="G1168" t="s">
        <v>878</v>
      </c>
      <c r="H1168" t="s">
        <v>878</v>
      </c>
      <c r="I1168"/>
    </row>
    <row r="1169" spans="1:9">
      <c r="A1169" t="s">
        <v>1136</v>
      </c>
      <c r="B1169" s="1" t="str">
        <f>"20095024.2"</f>
        <v>20095024.2</v>
      </c>
      <c r="C1169" t="s">
        <v>407</v>
      </c>
      <c r="D1169" t="s">
        <v>1185</v>
      </c>
      <c r="E1169" s="2"/>
      <c r="F1169"/>
      <c r="G1169" t="s">
        <v>878</v>
      </c>
      <c r="H1169" t="s">
        <v>517</v>
      </c>
      <c r="I1169"/>
    </row>
    <row r="1170" spans="1:9">
      <c r="A1170" t="s">
        <v>1136</v>
      </c>
      <c r="B1170" s="1" t="str">
        <f>"20257828"</f>
        <v>20257828</v>
      </c>
      <c r="C1170" t="s">
        <v>407</v>
      </c>
      <c r="D1170" t="s">
        <v>1280</v>
      </c>
      <c r="E1170" s="2"/>
      <c r="F1170"/>
      <c r="G1170" t="s">
        <v>616</v>
      </c>
      <c r="H1170" t="s">
        <v>616</v>
      </c>
      <c r="I1170"/>
    </row>
    <row r="1171" spans="1:9">
      <c r="A1171" t="s">
        <v>1136</v>
      </c>
      <c r="B1171" s="1" t="str">
        <f>"20257828.2"</f>
        <v>20257828.2</v>
      </c>
      <c r="C1171" t="s">
        <v>407</v>
      </c>
      <c r="D1171" t="s">
        <v>1280</v>
      </c>
      <c r="E1171" s="2"/>
      <c r="F1171"/>
      <c r="G1171" t="s">
        <v>616</v>
      </c>
      <c r="H1171" t="s">
        <v>517</v>
      </c>
      <c r="I1171"/>
    </row>
    <row r="1172" spans="1:9">
      <c r="A1172" t="s">
        <v>1136</v>
      </c>
      <c r="B1172" s="1" t="str">
        <f>"20077907"</f>
        <v>20077907</v>
      </c>
      <c r="C1172" t="s">
        <v>407</v>
      </c>
      <c r="D1172" t="s">
        <v>1281</v>
      </c>
      <c r="E1172" s="2"/>
      <c r="F1172" t="s">
        <v>681</v>
      </c>
      <c r="G1172" t="s">
        <v>1282</v>
      </c>
      <c r="H1172" t="s">
        <v>1282</v>
      </c>
      <c r="I1172"/>
    </row>
    <row r="1173" spans="1:9">
      <c r="A1173" t="s">
        <v>1136</v>
      </c>
      <c r="B1173" s="1" t="str">
        <f>"20077907.2"</f>
        <v>20077907.2</v>
      </c>
      <c r="C1173" t="s">
        <v>407</v>
      </c>
      <c r="D1173" t="s">
        <v>1281</v>
      </c>
      <c r="E1173" s="2"/>
      <c r="F1173" t="s">
        <v>681</v>
      </c>
      <c r="G1173" t="s">
        <v>1282</v>
      </c>
      <c r="H1173" t="s">
        <v>517</v>
      </c>
      <c r="I1173"/>
    </row>
    <row r="1174" spans="1:9">
      <c r="A1174" t="s">
        <v>1136</v>
      </c>
      <c r="B1174" s="1" t="str">
        <f>"20855888"</f>
        <v>20855888</v>
      </c>
      <c r="C1174" t="s">
        <v>407</v>
      </c>
      <c r="D1174" t="s">
        <v>1283</v>
      </c>
      <c r="E1174" s="2"/>
      <c r="F1174"/>
      <c r="G1174" t="s">
        <v>922</v>
      </c>
      <c r="H1174" t="s">
        <v>922</v>
      </c>
      <c r="I1174"/>
    </row>
    <row r="1175" spans="1:9">
      <c r="A1175" t="s">
        <v>1136</v>
      </c>
      <c r="B1175" s="1" t="str">
        <f>"20855888.2"</f>
        <v>20855888.2</v>
      </c>
      <c r="C1175" t="s">
        <v>407</v>
      </c>
      <c r="D1175" t="s">
        <v>1283</v>
      </c>
      <c r="E1175" s="2"/>
      <c r="F1175"/>
      <c r="G1175" t="s">
        <v>922</v>
      </c>
      <c r="H1175" t="s">
        <v>517</v>
      </c>
      <c r="I1175"/>
    </row>
    <row r="1176" spans="1:9">
      <c r="A1176" t="s">
        <v>1136</v>
      </c>
      <c r="B1176" s="1" t="str">
        <f>"20044770"</f>
        <v>20044770</v>
      </c>
      <c r="C1176" t="s">
        <v>407</v>
      </c>
      <c r="D1176" t="s">
        <v>1284</v>
      </c>
      <c r="E1176" s="2"/>
      <c r="F1176" t="s">
        <v>206</v>
      </c>
      <c r="G1176" t="s">
        <v>952</v>
      </c>
      <c r="H1176" t="s">
        <v>952</v>
      </c>
      <c r="I1176"/>
    </row>
    <row r="1177" spans="1:9">
      <c r="A1177" t="s">
        <v>1136</v>
      </c>
      <c r="B1177" s="1" t="str">
        <f>"20044770.2"</f>
        <v>20044770.2</v>
      </c>
      <c r="C1177" t="s">
        <v>407</v>
      </c>
      <c r="D1177" t="s">
        <v>1284</v>
      </c>
      <c r="E1177" s="2"/>
      <c r="F1177" t="s">
        <v>206</v>
      </c>
      <c r="G1177" t="s">
        <v>952</v>
      </c>
      <c r="H1177" t="s">
        <v>383</v>
      </c>
      <c r="I1177"/>
    </row>
    <row r="1178" spans="1:9">
      <c r="A1178" t="s">
        <v>1136</v>
      </c>
      <c r="B1178" s="1" t="str">
        <f>"20263157"</f>
        <v>20263157</v>
      </c>
      <c r="C1178" t="s">
        <v>407</v>
      </c>
      <c r="D1178" t="s">
        <v>1285</v>
      </c>
      <c r="E1178" s="2"/>
      <c r="F1178" t="s">
        <v>79</v>
      </c>
      <c r="G1178" t="s">
        <v>598</v>
      </c>
      <c r="H1178" t="s">
        <v>598</v>
      </c>
      <c r="I1178"/>
    </row>
    <row r="1179" spans="1:9">
      <c r="A1179" t="s">
        <v>1136</v>
      </c>
      <c r="B1179" s="1" t="str">
        <f>"20263157.2"</f>
        <v>20263157.2</v>
      </c>
      <c r="C1179" t="s">
        <v>407</v>
      </c>
      <c r="D1179" t="s">
        <v>1285</v>
      </c>
      <c r="E1179" s="2"/>
      <c r="F1179" t="s">
        <v>79</v>
      </c>
      <c r="G1179" t="s">
        <v>598</v>
      </c>
      <c r="H1179" t="s">
        <v>517</v>
      </c>
      <c r="I1179"/>
    </row>
    <row r="1180" spans="1:9">
      <c r="A1180" t="s">
        <v>1136</v>
      </c>
      <c r="B1180" s="1" t="str">
        <f>"20263164"</f>
        <v>20263164</v>
      </c>
      <c r="C1180" t="s">
        <v>407</v>
      </c>
      <c r="D1180" t="s">
        <v>1286</v>
      </c>
      <c r="E1180" s="2"/>
      <c r="F1180" t="s">
        <v>79</v>
      </c>
      <c r="G1180" t="s">
        <v>952</v>
      </c>
      <c r="H1180" t="s">
        <v>952</v>
      </c>
      <c r="I1180"/>
    </row>
    <row r="1181" spans="1:9">
      <c r="A1181" t="s">
        <v>1136</v>
      </c>
      <c r="B1181" s="1" t="str">
        <f>"20263164.2"</f>
        <v>20263164.2</v>
      </c>
      <c r="C1181" t="s">
        <v>407</v>
      </c>
      <c r="D1181" t="s">
        <v>1286</v>
      </c>
      <c r="E1181" s="2"/>
      <c r="F1181" t="s">
        <v>79</v>
      </c>
      <c r="G1181" t="s">
        <v>952</v>
      </c>
      <c r="H1181" t="s">
        <v>383</v>
      </c>
      <c r="I1181"/>
    </row>
    <row r="1182" spans="1:9">
      <c r="A1182" t="s">
        <v>1136</v>
      </c>
      <c r="B1182" s="1" t="str">
        <f>"12574208"</f>
        <v>12574208</v>
      </c>
      <c r="C1182" t="s">
        <v>407</v>
      </c>
      <c r="D1182" t="s">
        <v>1287</v>
      </c>
      <c r="E1182" s="2"/>
      <c r="F1182" t="s">
        <v>1288</v>
      </c>
      <c r="G1182" t="s">
        <v>122</v>
      </c>
      <c r="H1182" t="s">
        <v>383</v>
      </c>
      <c r="I1182"/>
    </row>
    <row r="1183" spans="1:9">
      <c r="A1183" t="s">
        <v>1136</v>
      </c>
      <c r="B1183" s="1" t="str">
        <f>"20104443"</f>
        <v>20104443</v>
      </c>
      <c r="C1183" t="s">
        <v>407</v>
      </c>
      <c r="D1183" t="s">
        <v>1289</v>
      </c>
      <c r="E1183" s="2"/>
      <c r="F1183"/>
      <c r="G1183" t="s">
        <v>243</v>
      </c>
      <c r="H1183" t="s">
        <v>243</v>
      </c>
      <c r="I1183"/>
    </row>
    <row r="1184" spans="1:9">
      <c r="A1184" t="s">
        <v>1136</v>
      </c>
      <c r="B1184" s="1" t="str">
        <f>"20104443.2"</f>
        <v>20104443.2</v>
      </c>
      <c r="C1184" t="s">
        <v>407</v>
      </c>
      <c r="D1184" t="s">
        <v>1289</v>
      </c>
      <c r="E1184" s="2"/>
      <c r="F1184"/>
      <c r="G1184" t="s">
        <v>243</v>
      </c>
      <c r="H1184" t="s">
        <v>218</v>
      </c>
      <c r="I1184"/>
    </row>
    <row r="1185" spans="1:9">
      <c r="A1185" t="s">
        <v>1136</v>
      </c>
      <c r="B1185" s="1" t="str">
        <f>"20018771"</f>
        <v>20018771</v>
      </c>
      <c r="C1185" t="s">
        <v>407</v>
      </c>
      <c r="D1185" t="s">
        <v>1290</v>
      </c>
      <c r="E1185" s="2"/>
      <c r="F1185" t="s">
        <v>31</v>
      </c>
      <c r="G1185" t="s">
        <v>1034</v>
      </c>
      <c r="H1185" t="s">
        <v>1034</v>
      </c>
      <c r="I1185"/>
    </row>
    <row r="1186" spans="1:9">
      <c r="A1186" t="s">
        <v>1136</v>
      </c>
      <c r="B1186" s="1" t="str">
        <f>"20018771.2"</f>
        <v>20018771.2</v>
      </c>
      <c r="C1186" t="s">
        <v>407</v>
      </c>
      <c r="D1186" t="s">
        <v>1290</v>
      </c>
      <c r="E1186" s="2"/>
      <c r="F1186" t="s">
        <v>31</v>
      </c>
      <c r="G1186" t="s">
        <v>1034</v>
      </c>
      <c r="H1186" t="s">
        <v>1088</v>
      </c>
      <c r="I1186"/>
    </row>
    <row r="1187" spans="1:9">
      <c r="A1187" t="s">
        <v>1136</v>
      </c>
      <c r="B1187" s="1" t="str">
        <f>"12175470"</f>
        <v>12175470</v>
      </c>
      <c r="C1187" t="s">
        <v>407</v>
      </c>
      <c r="D1187" t="s">
        <v>1291</v>
      </c>
      <c r="E1187" s="2"/>
      <c r="F1187" t="s">
        <v>1288</v>
      </c>
      <c r="G1187" t="s">
        <v>122</v>
      </c>
      <c r="H1187" t="s">
        <v>383</v>
      </c>
      <c r="I1187"/>
    </row>
    <row r="1188" spans="1:9">
      <c r="A1188" t="s">
        <v>1136</v>
      </c>
      <c r="B1188" s="1" t="str">
        <f>"20103699"</f>
        <v>20103699</v>
      </c>
      <c r="C1188" t="s">
        <v>407</v>
      </c>
      <c r="D1188" t="s">
        <v>1292</v>
      </c>
      <c r="E1188" s="2"/>
      <c r="F1188"/>
      <c r="G1188" t="s">
        <v>623</v>
      </c>
      <c r="H1188" t="s">
        <v>623</v>
      </c>
      <c r="I1188"/>
    </row>
    <row r="1189" spans="1:9">
      <c r="A1189" t="s">
        <v>1136</v>
      </c>
      <c r="B1189" s="1" t="str">
        <f>"20103699.2"</f>
        <v>20103699.2</v>
      </c>
      <c r="C1189" t="s">
        <v>407</v>
      </c>
      <c r="D1189" t="s">
        <v>1292</v>
      </c>
      <c r="E1189" s="2"/>
      <c r="F1189"/>
      <c r="G1189" t="s">
        <v>623</v>
      </c>
      <c r="H1189" t="s">
        <v>218</v>
      </c>
      <c r="I1189"/>
    </row>
    <row r="1190" spans="1:9">
      <c r="A1190" t="s">
        <v>1136</v>
      </c>
      <c r="B1190" s="1" t="str">
        <f>"20103392"</f>
        <v>20103392</v>
      </c>
      <c r="C1190" t="s">
        <v>407</v>
      </c>
      <c r="D1190" t="s">
        <v>1293</v>
      </c>
      <c r="E1190" s="2"/>
      <c r="F1190"/>
      <c r="G1190" t="s">
        <v>516</v>
      </c>
      <c r="H1190" t="s">
        <v>516</v>
      </c>
      <c r="I1190"/>
    </row>
    <row r="1191" spans="1:9">
      <c r="A1191" t="s">
        <v>1136</v>
      </c>
      <c r="B1191" s="1" t="str">
        <f>"20103392.2"</f>
        <v>20103392.2</v>
      </c>
      <c r="C1191" t="s">
        <v>407</v>
      </c>
      <c r="D1191" t="s">
        <v>1293</v>
      </c>
      <c r="E1191" s="2"/>
      <c r="F1191"/>
      <c r="G1191" t="s">
        <v>516</v>
      </c>
      <c r="H1191" t="s">
        <v>517</v>
      </c>
      <c r="I1191"/>
    </row>
    <row r="1192" spans="1:9">
      <c r="A1192" t="s">
        <v>1136</v>
      </c>
      <c r="B1192" s="1" t="str">
        <f>"20019983"</f>
        <v>20019983</v>
      </c>
      <c r="C1192" t="s">
        <v>407</v>
      </c>
      <c r="D1192" t="s">
        <v>1294</v>
      </c>
      <c r="E1192" s="2"/>
      <c r="F1192"/>
      <c r="G1192" t="s">
        <v>243</v>
      </c>
      <c r="H1192" t="s">
        <v>243</v>
      </c>
      <c r="I1192"/>
    </row>
    <row r="1193" spans="1:9">
      <c r="A1193" t="s">
        <v>1136</v>
      </c>
      <c r="B1193" s="1" t="str">
        <f>"20019983.2"</f>
        <v>20019983.2</v>
      </c>
      <c r="C1193" t="s">
        <v>407</v>
      </c>
      <c r="D1193" t="s">
        <v>1294</v>
      </c>
      <c r="E1193" s="2"/>
      <c r="F1193"/>
      <c r="G1193" t="s">
        <v>243</v>
      </c>
      <c r="H1193" t="s">
        <v>218</v>
      </c>
      <c r="I1193"/>
    </row>
    <row r="1194" spans="1:9">
      <c r="A1194" t="s">
        <v>1136</v>
      </c>
      <c r="B1194" s="1" t="str">
        <f>"20019785"</f>
        <v>20019785</v>
      </c>
      <c r="C1194" t="s">
        <v>407</v>
      </c>
      <c r="D1194" t="s">
        <v>1295</v>
      </c>
      <c r="E1194" s="2"/>
      <c r="F1194"/>
      <c r="G1194" t="s">
        <v>1034</v>
      </c>
      <c r="H1194" t="s">
        <v>1034</v>
      </c>
      <c r="I1194"/>
    </row>
    <row r="1195" spans="1:9">
      <c r="A1195" t="s">
        <v>1136</v>
      </c>
      <c r="B1195" s="1" t="str">
        <f>"20019785.2"</f>
        <v>20019785.2</v>
      </c>
      <c r="C1195" t="s">
        <v>407</v>
      </c>
      <c r="D1195" t="s">
        <v>1295</v>
      </c>
      <c r="E1195" s="2"/>
      <c r="F1195"/>
      <c r="G1195" t="s">
        <v>1034</v>
      </c>
      <c r="H1195" t="s">
        <v>1088</v>
      </c>
      <c r="I1195"/>
    </row>
    <row r="1196" spans="1:9">
      <c r="A1196" t="s">
        <v>1136</v>
      </c>
      <c r="B1196" s="1" t="str">
        <f>"20018801"</f>
        <v>20018801</v>
      </c>
      <c r="C1196" t="s">
        <v>407</v>
      </c>
      <c r="D1196" t="s">
        <v>1296</v>
      </c>
      <c r="E1196" s="2"/>
      <c r="F1196"/>
      <c r="G1196" t="s">
        <v>227</v>
      </c>
      <c r="H1196" t="s">
        <v>227</v>
      </c>
      <c r="I1196"/>
    </row>
    <row r="1197" spans="1:9">
      <c r="A1197" t="s">
        <v>1136</v>
      </c>
      <c r="B1197" s="1" t="str">
        <f>"20018801.2"</f>
        <v>20018801.2</v>
      </c>
      <c r="C1197" t="s">
        <v>407</v>
      </c>
      <c r="D1197" t="s">
        <v>1296</v>
      </c>
      <c r="E1197" s="2"/>
      <c r="F1197"/>
      <c r="G1197" t="s">
        <v>227</v>
      </c>
      <c r="H1197" t="s">
        <v>218</v>
      </c>
      <c r="I1197"/>
    </row>
    <row r="1198" spans="1:9">
      <c r="A1198" t="s">
        <v>1136</v>
      </c>
      <c r="B1198" s="1" t="str">
        <f>"20075675"</f>
        <v>20075675</v>
      </c>
      <c r="C1198" t="s">
        <v>407</v>
      </c>
      <c r="D1198" t="s">
        <v>1297</v>
      </c>
      <c r="E1198" s="2"/>
      <c r="F1198"/>
      <c r="G1198" t="s">
        <v>227</v>
      </c>
      <c r="H1198" t="s">
        <v>227</v>
      </c>
      <c r="I1198"/>
    </row>
    <row r="1199" spans="1:9">
      <c r="A1199" t="s">
        <v>1136</v>
      </c>
      <c r="B1199" s="1" t="str">
        <f>"20075675.2"</f>
        <v>20075675.2</v>
      </c>
      <c r="C1199" t="s">
        <v>407</v>
      </c>
      <c r="D1199" t="s">
        <v>1297</v>
      </c>
      <c r="E1199" s="2"/>
      <c r="F1199"/>
      <c r="G1199" t="s">
        <v>227</v>
      </c>
      <c r="H1199" t="s">
        <v>218</v>
      </c>
      <c r="I1199"/>
    </row>
    <row r="1200" spans="1:9">
      <c r="A1200" t="s">
        <v>1136</v>
      </c>
      <c r="B1200" s="1" t="str">
        <f>"20257873"</f>
        <v>20257873</v>
      </c>
      <c r="C1200" t="s">
        <v>407</v>
      </c>
      <c r="D1200" t="s">
        <v>1298</v>
      </c>
      <c r="E1200" s="2"/>
      <c r="F1200"/>
      <c r="G1200" t="s">
        <v>122</v>
      </c>
      <c r="H1200" t="s">
        <v>122</v>
      </c>
      <c r="I1200"/>
    </row>
    <row r="1201" spans="1:9">
      <c r="A1201" t="s">
        <v>1136</v>
      </c>
      <c r="B1201" s="1" t="str">
        <f>"20257873.2"</f>
        <v>20257873.2</v>
      </c>
      <c r="C1201" t="s">
        <v>407</v>
      </c>
      <c r="D1201" t="s">
        <v>1298</v>
      </c>
      <c r="E1201" s="2"/>
      <c r="F1201"/>
      <c r="G1201" t="s">
        <v>122</v>
      </c>
      <c r="H1201" t="s">
        <v>383</v>
      </c>
      <c r="I1201"/>
    </row>
    <row r="1202" spans="1:9">
      <c r="A1202" t="s">
        <v>1136</v>
      </c>
      <c r="B1202" s="1" t="str">
        <f>"20100643"</f>
        <v>20100643</v>
      </c>
      <c r="C1202" t="s">
        <v>407</v>
      </c>
      <c r="D1202" t="s">
        <v>1299</v>
      </c>
      <c r="E1202" s="2"/>
      <c r="F1202" t="s">
        <v>1300</v>
      </c>
      <c r="G1202" t="s">
        <v>1034</v>
      </c>
      <c r="H1202" t="s">
        <v>1034</v>
      </c>
      <c r="I1202"/>
    </row>
    <row r="1203" spans="1:9">
      <c r="A1203" t="s">
        <v>1136</v>
      </c>
      <c r="B1203" s="1" t="str">
        <f>"20100643.2"</f>
        <v>20100643.2</v>
      </c>
      <c r="C1203" t="s">
        <v>407</v>
      </c>
      <c r="D1203" t="s">
        <v>1299</v>
      </c>
      <c r="E1203" s="2"/>
      <c r="F1203" t="s">
        <v>1300</v>
      </c>
      <c r="G1203" t="s">
        <v>1034</v>
      </c>
      <c r="H1203" t="s">
        <v>1088</v>
      </c>
      <c r="I1203"/>
    </row>
    <row r="1204" spans="1:9">
      <c r="A1204" t="s">
        <v>1136</v>
      </c>
      <c r="B1204" s="1" t="str">
        <f>"20020156"</f>
        <v>20020156</v>
      </c>
      <c r="C1204" t="s">
        <v>407</v>
      </c>
      <c r="D1204" t="s">
        <v>1301</v>
      </c>
      <c r="E1204" s="2"/>
      <c r="F1204" t="s">
        <v>1302</v>
      </c>
      <c r="G1204" t="s">
        <v>952</v>
      </c>
      <c r="H1204" t="s">
        <v>952</v>
      </c>
      <c r="I1204"/>
    </row>
    <row r="1205" spans="1:9">
      <c r="A1205" t="s">
        <v>1136</v>
      </c>
      <c r="B1205" s="1" t="str">
        <f>"20020156.2"</f>
        <v>20020156.2</v>
      </c>
      <c r="C1205" t="s">
        <v>407</v>
      </c>
      <c r="D1205" t="s">
        <v>1301</v>
      </c>
      <c r="E1205" s="2"/>
      <c r="F1205" t="s">
        <v>1303</v>
      </c>
      <c r="G1205" t="s">
        <v>952</v>
      </c>
      <c r="H1205" t="s">
        <v>383</v>
      </c>
      <c r="I1205"/>
    </row>
    <row r="1206" spans="1:9">
      <c r="A1206" t="s">
        <v>1136</v>
      </c>
      <c r="B1206" s="1" t="str">
        <f>"20102203"</f>
        <v>20102203</v>
      </c>
      <c r="C1206" t="s">
        <v>407</v>
      </c>
      <c r="D1206" t="s">
        <v>1304</v>
      </c>
      <c r="E1206" s="2"/>
      <c r="F1206"/>
      <c r="G1206" t="s">
        <v>243</v>
      </c>
      <c r="H1206" t="s">
        <v>243</v>
      </c>
      <c r="I1206"/>
    </row>
    <row r="1207" spans="1:9">
      <c r="A1207" t="s">
        <v>1136</v>
      </c>
      <c r="B1207" s="1" t="str">
        <f>"20102203.2"</f>
        <v>20102203.2</v>
      </c>
      <c r="C1207" t="s">
        <v>407</v>
      </c>
      <c r="D1207" t="s">
        <v>1304</v>
      </c>
      <c r="E1207" s="2"/>
      <c r="F1207"/>
      <c r="G1207" t="s">
        <v>243</v>
      </c>
      <c r="H1207" t="s">
        <v>218</v>
      </c>
      <c r="I1207"/>
    </row>
    <row r="1208" spans="1:9">
      <c r="A1208" t="s">
        <v>1136</v>
      </c>
      <c r="B1208" s="1" t="str">
        <f>"28111035"</f>
        <v>28111035</v>
      </c>
      <c r="C1208" t="s">
        <v>407</v>
      </c>
      <c r="D1208" t="s">
        <v>1305</v>
      </c>
      <c r="E1208" s="2"/>
      <c r="F1208" t="s">
        <v>1306</v>
      </c>
      <c r="G1208" t="s">
        <v>533</v>
      </c>
      <c r="H1208" t="s">
        <v>533</v>
      </c>
      <c r="I1208"/>
    </row>
    <row r="1209" spans="1:9">
      <c r="A1209" t="s">
        <v>1136</v>
      </c>
      <c r="B1209" s="1" t="str">
        <f>"28111035.2"</f>
        <v>28111035.2</v>
      </c>
      <c r="C1209" t="s">
        <v>407</v>
      </c>
      <c r="D1209" t="s">
        <v>1305</v>
      </c>
      <c r="E1209" s="2"/>
      <c r="F1209" t="s">
        <v>1306</v>
      </c>
      <c r="G1209" t="s">
        <v>533</v>
      </c>
      <c r="H1209" t="s">
        <v>517</v>
      </c>
      <c r="I1209"/>
    </row>
    <row r="1210" spans="1:9">
      <c r="A1210" t="s">
        <v>1136</v>
      </c>
      <c r="B1210" s="1" t="str">
        <f>"20088828"</f>
        <v>20088828</v>
      </c>
      <c r="C1210" t="s">
        <v>407</v>
      </c>
      <c r="D1210" t="s">
        <v>1307</v>
      </c>
      <c r="E1210" s="2"/>
      <c r="F1210"/>
      <c r="G1210" t="s">
        <v>598</v>
      </c>
      <c r="H1210" t="s">
        <v>598</v>
      </c>
      <c r="I1210"/>
    </row>
    <row r="1211" spans="1:9">
      <c r="A1211" t="s">
        <v>1136</v>
      </c>
      <c r="B1211" s="1" t="str">
        <f>"20088828.2"</f>
        <v>20088828.2</v>
      </c>
      <c r="C1211" t="s">
        <v>407</v>
      </c>
      <c r="D1211" t="s">
        <v>1307</v>
      </c>
      <c r="E1211" s="2"/>
      <c r="F1211"/>
      <c r="G1211" t="s">
        <v>598</v>
      </c>
      <c r="H1211" t="s">
        <v>517</v>
      </c>
      <c r="I1211"/>
    </row>
    <row r="1212" spans="1:9">
      <c r="A1212" t="s">
        <v>1136</v>
      </c>
      <c r="B1212" s="1" t="str">
        <f>"20104030"</f>
        <v>20104030</v>
      </c>
      <c r="C1212" t="s">
        <v>407</v>
      </c>
      <c r="D1212" t="s">
        <v>1308</v>
      </c>
      <c r="E1212" s="2"/>
      <c r="F1212"/>
      <c r="G1212" t="s">
        <v>900</v>
      </c>
      <c r="H1212" t="s">
        <v>900</v>
      </c>
      <c r="I1212"/>
    </row>
    <row r="1213" spans="1:9">
      <c r="A1213" t="s">
        <v>1136</v>
      </c>
      <c r="B1213" s="1" t="str">
        <f>"20104030.2"</f>
        <v>20104030.2</v>
      </c>
      <c r="C1213" t="s">
        <v>407</v>
      </c>
      <c r="D1213" t="s">
        <v>1308</v>
      </c>
      <c r="E1213" s="2"/>
      <c r="F1213"/>
      <c r="G1213" t="s">
        <v>900</v>
      </c>
      <c r="H1213" t="s">
        <v>517</v>
      </c>
      <c r="I1213"/>
    </row>
    <row r="1214" spans="1:9">
      <c r="A1214" t="s">
        <v>1136</v>
      </c>
      <c r="B1214" s="1" t="str">
        <f>"20019389"</f>
        <v>20019389</v>
      </c>
      <c r="C1214" t="s">
        <v>407</v>
      </c>
      <c r="D1214" t="s">
        <v>1309</v>
      </c>
      <c r="E1214" s="2"/>
      <c r="F1214"/>
      <c r="G1214" t="s">
        <v>1310</v>
      </c>
      <c r="H1214" t="s">
        <v>1310</v>
      </c>
      <c r="I1214"/>
    </row>
    <row r="1215" spans="1:9">
      <c r="A1215" t="s">
        <v>1136</v>
      </c>
      <c r="B1215" s="1" t="str">
        <f>"20019389.2"</f>
        <v>20019389.2</v>
      </c>
      <c r="C1215" t="s">
        <v>407</v>
      </c>
      <c r="D1215" t="s">
        <v>1309</v>
      </c>
      <c r="E1215" s="2"/>
      <c r="F1215"/>
      <c r="G1215" t="s">
        <v>1310</v>
      </c>
      <c r="H1215" t="s">
        <v>218</v>
      </c>
      <c r="I1215"/>
    </row>
    <row r="1216" spans="1:9">
      <c r="A1216" t="s">
        <v>1136</v>
      </c>
      <c r="B1216" s="1" t="str">
        <f>"20016029"</f>
        <v>20016029</v>
      </c>
      <c r="C1216" t="s">
        <v>407</v>
      </c>
      <c r="D1216" t="s">
        <v>1311</v>
      </c>
      <c r="E1216" s="2"/>
      <c r="F1216"/>
      <c r="G1216" t="s">
        <v>1312</v>
      </c>
      <c r="H1216" t="s">
        <v>1312</v>
      </c>
      <c r="I1216"/>
    </row>
    <row r="1217" spans="1:9">
      <c r="A1217" t="s">
        <v>1136</v>
      </c>
      <c r="B1217" s="1" t="str">
        <f>"20016029.2"</f>
        <v>20016029.2</v>
      </c>
      <c r="C1217" t="s">
        <v>407</v>
      </c>
      <c r="D1217" t="s">
        <v>1311</v>
      </c>
      <c r="E1217" s="2"/>
      <c r="F1217"/>
      <c r="G1217" t="s">
        <v>1312</v>
      </c>
      <c r="H1217" t="s">
        <v>218</v>
      </c>
      <c r="I1217"/>
    </row>
    <row r="1218" spans="1:9">
      <c r="A1218" t="s">
        <v>1136</v>
      </c>
      <c r="B1218" s="1" t="str">
        <f>"20104832"</f>
        <v>20104832</v>
      </c>
      <c r="C1218" t="s">
        <v>407</v>
      </c>
      <c r="D1218" t="s">
        <v>1313</v>
      </c>
      <c r="E1218" s="2"/>
      <c r="F1218"/>
      <c r="G1218" t="s">
        <v>613</v>
      </c>
      <c r="H1218" t="s">
        <v>613</v>
      </c>
      <c r="I1218"/>
    </row>
    <row r="1219" spans="1:9">
      <c r="A1219" t="s">
        <v>1136</v>
      </c>
      <c r="B1219" s="1" t="str">
        <f>"20104832.2"</f>
        <v>20104832.2</v>
      </c>
      <c r="C1219" t="s">
        <v>407</v>
      </c>
      <c r="D1219" t="s">
        <v>1313</v>
      </c>
      <c r="E1219" s="2"/>
      <c r="F1219"/>
      <c r="G1219" t="s">
        <v>613</v>
      </c>
      <c r="H1219" t="s">
        <v>517</v>
      </c>
      <c r="I1219"/>
    </row>
    <row r="1220" spans="1:9">
      <c r="A1220" t="s">
        <v>1136</v>
      </c>
      <c r="B1220" s="1" t="str">
        <f>"20104467"</f>
        <v>20104467</v>
      </c>
      <c r="C1220" t="s">
        <v>407</v>
      </c>
      <c r="D1220" t="s">
        <v>1314</v>
      </c>
      <c r="E1220" s="2"/>
      <c r="F1220"/>
      <c r="G1220" t="s">
        <v>1268</v>
      </c>
      <c r="H1220" t="s">
        <v>1268</v>
      </c>
      <c r="I1220"/>
    </row>
    <row r="1221" spans="1:9">
      <c r="A1221" t="s">
        <v>1136</v>
      </c>
      <c r="B1221" s="1" t="str">
        <f>"20104467.2"</f>
        <v>20104467.2</v>
      </c>
      <c r="C1221" t="s">
        <v>407</v>
      </c>
      <c r="D1221" t="s">
        <v>1314</v>
      </c>
      <c r="E1221" s="2"/>
      <c r="F1221"/>
      <c r="G1221" t="s">
        <v>1268</v>
      </c>
      <c r="H1221" t="s">
        <v>517</v>
      </c>
      <c r="I1221"/>
    </row>
    <row r="1222" spans="1:9">
      <c r="A1222" t="s">
        <v>1136</v>
      </c>
      <c r="B1222" s="1" t="str">
        <f>"20112059"</f>
        <v>20112059</v>
      </c>
      <c r="C1222" t="s">
        <v>407</v>
      </c>
      <c r="D1222" t="s">
        <v>1315</v>
      </c>
      <c r="E1222" s="2"/>
      <c r="F1222"/>
      <c r="G1222" t="s">
        <v>618</v>
      </c>
      <c r="H1222" t="s">
        <v>618</v>
      </c>
      <c r="I1222"/>
    </row>
    <row r="1223" spans="1:9">
      <c r="A1223" t="s">
        <v>1136</v>
      </c>
      <c r="B1223" s="1" t="str">
        <f>"20112059.2"</f>
        <v>20112059.2</v>
      </c>
      <c r="C1223" t="s">
        <v>407</v>
      </c>
      <c r="D1223" t="s">
        <v>1315</v>
      </c>
      <c r="E1223" s="2"/>
      <c r="F1223"/>
      <c r="G1223" t="s">
        <v>618</v>
      </c>
      <c r="H1223" t="s">
        <v>517</v>
      </c>
      <c r="I1223"/>
    </row>
    <row r="1224" spans="1:9">
      <c r="A1224" t="s">
        <v>1136</v>
      </c>
      <c r="B1224" s="1" t="str">
        <f>"20299996"</f>
        <v>20299996</v>
      </c>
      <c r="C1224" t="s">
        <v>407</v>
      </c>
      <c r="D1224" t="s">
        <v>1316</v>
      </c>
      <c r="E1224" s="2"/>
      <c r="F1224"/>
      <c r="G1224" t="s">
        <v>614</v>
      </c>
      <c r="H1224" t="s">
        <v>614</v>
      </c>
      <c r="I1224"/>
    </row>
    <row r="1225" spans="1:9">
      <c r="A1225" t="s">
        <v>1136</v>
      </c>
      <c r="B1225" s="1" t="str">
        <f>"20299996.2"</f>
        <v>20299996.2</v>
      </c>
      <c r="C1225" t="s">
        <v>407</v>
      </c>
      <c r="D1225" t="s">
        <v>1316</v>
      </c>
      <c r="E1225" s="2"/>
      <c r="F1225"/>
      <c r="G1225" t="s">
        <v>614</v>
      </c>
      <c r="H1225" t="s">
        <v>517</v>
      </c>
      <c r="I1225"/>
    </row>
    <row r="1226" spans="1:9">
      <c r="A1226" t="s">
        <v>1136</v>
      </c>
      <c r="B1226" s="1" t="str">
        <f>"20019402"</f>
        <v>20019402</v>
      </c>
      <c r="C1226" t="s">
        <v>407</v>
      </c>
      <c r="D1226" t="s">
        <v>1317</v>
      </c>
      <c r="E1226" s="2"/>
      <c r="F1226"/>
      <c r="G1226" t="s">
        <v>598</v>
      </c>
      <c r="H1226" t="s">
        <v>598</v>
      </c>
      <c r="I1226"/>
    </row>
    <row r="1227" spans="1:9">
      <c r="A1227" t="s">
        <v>1136</v>
      </c>
      <c r="B1227" s="1" t="str">
        <f>"20019402.2"</f>
        <v>20019402.2</v>
      </c>
      <c r="C1227" t="s">
        <v>407</v>
      </c>
      <c r="D1227" t="s">
        <v>1317</v>
      </c>
      <c r="E1227" s="2"/>
      <c r="F1227"/>
      <c r="G1227" t="s">
        <v>598</v>
      </c>
      <c r="H1227" t="s">
        <v>517</v>
      </c>
      <c r="I1227"/>
    </row>
    <row r="1228" spans="1:9">
      <c r="A1228" t="s">
        <v>1136</v>
      </c>
      <c r="B1228" s="1" t="str">
        <f>"20103996"</f>
        <v>20103996</v>
      </c>
      <c r="C1228" t="s">
        <v>407</v>
      </c>
      <c r="D1228" t="s">
        <v>1318</v>
      </c>
      <c r="E1228" s="2"/>
      <c r="F1228"/>
      <c r="G1228" t="s">
        <v>533</v>
      </c>
      <c r="H1228" t="s">
        <v>533</v>
      </c>
      <c r="I1228"/>
    </row>
    <row r="1229" spans="1:9">
      <c r="A1229" t="s">
        <v>1136</v>
      </c>
      <c r="B1229" s="1" t="str">
        <f>"20103996.2"</f>
        <v>20103996.2</v>
      </c>
      <c r="C1229" t="s">
        <v>407</v>
      </c>
      <c r="D1229" t="s">
        <v>1318</v>
      </c>
      <c r="E1229" s="2"/>
      <c r="F1229"/>
      <c r="G1229" t="s">
        <v>533</v>
      </c>
      <c r="H1229" t="s">
        <v>517</v>
      </c>
      <c r="I1229"/>
    </row>
    <row r="1230" spans="1:9">
      <c r="A1230" t="s">
        <v>1136</v>
      </c>
      <c r="B1230" s="1" t="str">
        <f>"20027391"</f>
        <v>20027391</v>
      </c>
      <c r="C1230" t="s">
        <v>407</v>
      </c>
      <c r="D1230" t="s">
        <v>1319</v>
      </c>
      <c r="E1230" s="2"/>
      <c r="F1230"/>
      <c r="G1230" t="s">
        <v>616</v>
      </c>
      <c r="H1230" t="s">
        <v>616</v>
      </c>
      <c r="I1230"/>
    </row>
    <row r="1231" spans="1:9">
      <c r="A1231" t="s">
        <v>1136</v>
      </c>
      <c r="B1231" s="1" t="str">
        <f>"20027391.2"</f>
        <v>20027391.2</v>
      </c>
      <c r="C1231" t="s">
        <v>407</v>
      </c>
      <c r="D1231" t="s">
        <v>1319</v>
      </c>
      <c r="E1231" s="2"/>
      <c r="F1231"/>
      <c r="G1231" t="s">
        <v>616</v>
      </c>
      <c r="H1231" t="s">
        <v>517</v>
      </c>
      <c r="I1231"/>
    </row>
    <row r="1232" spans="1:9">
      <c r="A1232" t="s">
        <v>1136</v>
      </c>
      <c r="B1232" s="1" t="str">
        <f>"20102340"</f>
        <v>20102340</v>
      </c>
      <c r="C1232" t="s">
        <v>407</v>
      </c>
      <c r="D1232" t="s">
        <v>1320</v>
      </c>
      <c r="E1232" s="2"/>
      <c r="F1232"/>
      <c r="G1232" t="s">
        <v>243</v>
      </c>
      <c r="H1232" t="s">
        <v>243</v>
      </c>
      <c r="I1232"/>
    </row>
    <row r="1233" spans="1:9">
      <c r="A1233" t="s">
        <v>1136</v>
      </c>
      <c r="B1233" s="1" t="str">
        <f>"20102340.2"</f>
        <v>20102340.2</v>
      </c>
      <c r="C1233" t="s">
        <v>407</v>
      </c>
      <c r="D1233" t="s">
        <v>1320</v>
      </c>
      <c r="E1233" s="2"/>
      <c r="F1233"/>
      <c r="G1233" t="s">
        <v>243</v>
      </c>
      <c r="H1233" t="s">
        <v>218</v>
      </c>
      <c r="I1233"/>
    </row>
    <row r="1234" spans="1:9">
      <c r="A1234" t="s">
        <v>1136</v>
      </c>
      <c r="B1234" s="1" t="str">
        <f>"20051778"</f>
        <v>20051778</v>
      </c>
      <c r="C1234" t="s">
        <v>407</v>
      </c>
      <c r="D1234" t="s">
        <v>1321</v>
      </c>
      <c r="E1234" s="2"/>
      <c r="F1234"/>
      <c r="G1234" t="s">
        <v>243</v>
      </c>
      <c r="H1234" t="s">
        <v>243</v>
      </c>
      <c r="I1234"/>
    </row>
    <row r="1235" spans="1:9">
      <c r="A1235" t="s">
        <v>1136</v>
      </c>
      <c r="B1235" s="1" t="str">
        <f>"20051778.2"</f>
        <v>20051778.2</v>
      </c>
      <c r="C1235" t="s">
        <v>407</v>
      </c>
      <c r="D1235" t="s">
        <v>1321</v>
      </c>
      <c r="E1235" s="2"/>
      <c r="F1235"/>
      <c r="G1235" t="s">
        <v>243</v>
      </c>
      <c r="H1235" t="s">
        <v>218</v>
      </c>
      <c r="I1235"/>
    </row>
    <row r="1236" spans="1:9">
      <c r="A1236" t="s">
        <v>1136</v>
      </c>
      <c r="B1236" s="1" t="str">
        <f>"20019068"</f>
        <v>20019068</v>
      </c>
      <c r="C1236" t="s">
        <v>407</v>
      </c>
      <c r="D1236" t="s">
        <v>1322</v>
      </c>
      <c r="E1236" s="2"/>
      <c r="F1236" t="s">
        <v>433</v>
      </c>
      <c r="G1236" t="s">
        <v>122</v>
      </c>
      <c r="H1236" t="s">
        <v>122</v>
      </c>
      <c r="I1236"/>
    </row>
    <row r="1237" spans="1:9">
      <c r="A1237" t="s">
        <v>1136</v>
      </c>
      <c r="B1237" s="1" t="str">
        <f>"20019044"</f>
        <v>20019044</v>
      </c>
      <c r="C1237" t="s">
        <v>407</v>
      </c>
      <c r="D1237" t="s">
        <v>476</v>
      </c>
      <c r="E1237" s="2"/>
      <c r="F1237" t="s">
        <v>1323</v>
      </c>
      <c r="G1237" t="s">
        <v>122</v>
      </c>
      <c r="H1237" t="s">
        <v>122</v>
      </c>
      <c r="I1237"/>
    </row>
    <row r="1238" spans="1:9">
      <c r="A1238" t="s">
        <v>1136</v>
      </c>
      <c r="B1238" s="1" t="str">
        <f>"20103385"</f>
        <v>20103385</v>
      </c>
      <c r="C1238" t="s">
        <v>407</v>
      </c>
      <c r="D1238" t="s">
        <v>1324</v>
      </c>
      <c r="E1238" s="2"/>
      <c r="F1238"/>
      <c r="G1238" t="s">
        <v>616</v>
      </c>
      <c r="H1238" t="s">
        <v>616</v>
      </c>
      <c r="I1238"/>
    </row>
    <row r="1239" spans="1:9">
      <c r="A1239" t="s">
        <v>1136</v>
      </c>
      <c r="B1239" s="1" t="str">
        <f>"20103385.2"</f>
        <v>20103385.2</v>
      </c>
      <c r="C1239" t="s">
        <v>407</v>
      </c>
      <c r="D1239" t="s">
        <v>1324</v>
      </c>
      <c r="E1239" s="2"/>
      <c r="F1239"/>
      <c r="G1239" t="s">
        <v>616</v>
      </c>
      <c r="H1239" t="s">
        <v>517</v>
      </c>
      <c r="I1239"/>
    </row>
    <row r="1240" spans="1:9">
      <c r="A1240" t="s">
        <v>1136</v>
      </c>
      <c r="B1240" s="1" t="str">
        <f>"20042059"</f>
        <v>20042059</v>
      </c>
      <c r="C1240" t="s">
        <v>407</v>
      </c>
      <c r="D1240" t="s">
        <v>1325</v>
      </c>
      <c r="E1240" s="2"/>
      <c r="F1240"/>
      <c r="G1240" t="s">
        <v>1034</v>
      </c>
      <c r="H1240" t="s">
        <v>1034</v>
      </c>
      <c r="I1240"/>
    </row>
    <row r="1241" spans="1:9">
      <c r="A1241" t="s">
        <v>1136</v>
      </c>
      <c r="B1241" s="1" t="str">
        <f>"20042059.2"</f>
        <v>20042059.2</v>
      </c>
      <c r="C1241" t="s">
        <v>407</v>
      </c>
      <c r="D1241" t="s">
        <v>1325</v>
      </c>
      <c r="E1241" s="2"/>
      <c r="F1241"/>
      <c r="G1241" t="s">
        <v>1034</v>
      </c>
      <c r="H1241" t="s">
        <v>1088</v>
      </c>
      <c r="I1241"/>
    </row>
    <row r="1242" spans="1:9">
      <c r="A1242" t="s">
        <v>1136</v>
      </c>
      <c r="B1242" s="1" t="str">
        <f>"20019969"</f>
        <v>20019969</v>
      </c>
      <c r="C1242" t="s">
        <v>407</v>
      </c>
      <c r="D1242" t="s">
        <v>1326</v>
      </c>
      <c r="E1242" s="2"/>
      <c r="F1242"/>
      <c r="G1242" t="s">
        <v>623</v>
      </c>
      <c r="H1242" t="s">
        <v>623</v>
      </c>
      <c r="I1242"/>
    </row>
    <row r="1243" spans="1:9">
      <c r="A1243" t="s">
        <v>1136</v>
      </c>
      <c r="B1243" s="1" t="str">
        <f>"20019969.2"</f>
        <v>20019969.2</v>
      </c>
      <c r="C1243" t="s">
        <v>407</v>
      </c>
      <c r="D1243" t="s">
        <v>1326</v>
      </c>
      <c r="E1243" s="2"/>
      <c r="F1243"/>
      <c r="G1243" t="s">
        <v>623</v>
      </c>
      <c r="H1243" t="s">
        <v>218</v>
      </c>
      <c r="I1243"/>
    </row>
    <row r="1244" spans="1:9">
      <c r="A1244" t="s">
        <v>1136</v>
      </c>
      <c r="B1244" s="1" t="str">
        <f>"20113735"</f>
        <v>20113735</v>
      </c>
      <c r="C1244" t="s">
        <v>407</v>
      </c>
      <c r="D1244" t="s">
        <v>1327</v>
      </c>
      <c r="E1244" s="2"/>
      <c r="F1244"/>
      <c r="G1244" t="s">
        <v>243</v>
      </c>
      <c r="H1244" t="s">
        <v>243</v>
      </c>
      <c r="I1244"/>
    </row>
    <row r="1245" spans="1:9">
      <c r="A1245" t="s">
        <v>1136</v>
      </c>
      <c r="B1245" s="1" t="str">
        <f>"20113735.2"</f>
        <v>20113735.2</v>
      </c>
      <c r="C1245" t="s">
        <v>407</v>
      </c>
      <c r="D1245" t="s">
        <v>1327</v>
      </c>
      <c r="E1245" s="2"/>
      <c r="F1245"/>
      <c r="G1245" t="s">
        <v>243</v>
      </c>
      <c r="H1245" t="s">
        <v>218</v>
      </c>
      <c r="I1245"/>
    </row>
    <row r="1246" spans="1:9">
      <c r="A1246" t="s">
        <v>1136</v>
      </c>
      <c r="B1246" s="1" t="str">
        <f>"20091682"</f>
        <v>20091682</v>
      </c>
      <c r="C1246" t="s">
        <v>407</v>
      </c>
      <c r="D1246" t="s">
        <v>1328</v>
      </c>
      <c r="E1246" s="2"/>
      <c r="F1246"/>
      <c r="G1246" t="s">
        <v>243</v>
      </c>
      <c r="H1246" t="s">
        <v>243</v>
      </c>
      <c r="I1246"/>
    </row>
    <row r="1247" spans="1:9">
      <c r="A1247" t="s">
        <v>1136</v>
      </c>
      <c r="B1247" s="1" t="str">
        <f>"20091682.2"</f>
        <v>20091682.2</v>
      </c>
      <c r="C1247" t="s">
        <v>407</v>
      </c>
      <c r="D1247" t="s">
        <v>1328</v>
      </c>
      <c r="E1247" s="2"/>
      <c r="F1247"/>
      <c r="G1247" t="s">
        <v>243</v>
      </c>
      <c r="H1247" t="s">
        <v>218</v>
      </c>
      <c r="I1247"/>
    </row>
    <row r="1248" spans="1:9">
      <c r="A1248" t="s">
        <v>1136</v>
      </c>
      <c r="B1248" s="1" t="str">
        <f>"20091729"</f>
        <v>20091729</v>
      </c>
      <c r="C1248" t="s">
        <v>407</v>
      </c>
      <c r="D1248" t="s">
        <v>1329</v>
      </c>
      <c r="E1248" s="2"/>
      <c r="F1248"/>
      <c r="G1248" t="s">
        <v>243</v>
      </c>
      <c r="H1248" t="s">
        <v>243</v>
      </c>
      <c r="I1248"/>
    </row>
    <row r="1249" spans="1:9">
      <c r="A1249" t="s">
        <v>1136</v>
      </c>
      <c r="B1249" s="1" t="str">
        <f>"20091729.2"</f>
        <v>20091729.2</v>
      </c>
      <c r="C1249" t="s">
        <v>407</v>
      </c>
      <c r="D1249" t="s">
        <v>1329</v>
      </c>
      <c r="E1249" s="2"/>
      <c r="F1249"/>
      <c r="G1249" t="s">
        <v>243</v>
      </c>
      <c r="H1249" t="s">
        <v>218</v>
      </c>
      <c r="I1249"/>
    </row>
    <row r="1250" spans="1:9">
      <c r="A1250" t="s">
        <v>1136</v>
      </c>
      <c r="B1250" s="1" t="str">
        <f>"20113728"</f>
        <v>20113728</v>
      </c>
      <c r="C1250" t="s">
        <v>407</v>
      </c>
      <c r="D1250" t="s">
        <v>1330</v>
      </c>
      <c r="E1250" s="2"/>
      <c r="F1250"/>
      <c r="G1250" t="s">
        <v>243</v>
      </c>
      <c r="H1250" t="s">
        <v>243</v>
      </c>
      <c r="I1250"/>
    </row>
    <row r="1251" spans="1:9">
      <c r="A1251" t="s">
        <v>1136</v>
      </c>
      <c r="B1251" s="1" t="str">
        <f>"20113728.2"</f>
        <v>20113728.2</v>
      </c>
      <c r="C1251" t="s">
        <v>407</v>
      </c>
      <c r="D1251" t="s">
        <v>1330</v>
      </c>
      <c r="E1251" s="2"/>
      <c r="F1251"/>
      <c r="G1251" t="s">
        <v>243</v>
      </c>
      <c r="H1251" t="s">
        <v>218</v>
      </c>
      <c r="I1251"/>
    </row>
    <row r="1252" spans="1:9">
      <c r="A1252" t="s">
        <v>1136</v>
      </c>
      <c r="B1252" s="1" t="str">
        <f>"20018597"</f>
        <v>20018597</v>
      </c>
      <c r="C1252" t="s">
        <v>407</v>
      </c>
      <c r="D1252" t="s">
        <v>1331</v>
      </c>
      <c r="E1252" s="2"/>
      <c r="F1252"/>
      <c r="G1252" t="s">
        <v>243</v>
      </c>
      <c r="H1252" t="s">
        <v>243</v>
      </c>
      <c r="I1252"/>
    </row>
    <row r="1253" spans="1:9">
      <c r="A1253" t="s">
        <v>1136</v>
      </c>
      <c r="B1253" s="1" t="str">
        <f>"20018597.2"</f>
        <v>20018597.2</v>
      </c>
      <c r="C1253" t="s">
        <v>407</v>
      </c>
      <c r="D1253" t="s">
        <v>1331</v>
      </c>
      <c r="E1253" s="2"/>
      <c r="F1253"/>
      <c r="G1253" t="s">
        <v>243</v>
      </c>
      <c r="H1253" t="s">
        <v>218</v>
      </c>
      <c r="I1253"/>
    </row>
    <row r="1254" spans="1:9">
      <c r="A1254" t="s">
        <v>1136</v>
      </c>
      <c r="B1254" s="1" t="str">
        <f>"20202170"</f>
        <v>20202170</v>
      </c>
      <c r="C1254" t="s">
        <v>407</v>
      </c>
      <c r="D1254" t="s">
        <v>1332</v>
      </c>
      <c r="E1254" s="2"/>
      <c r="F1254" t="s">
        <v>66</v>
      </c>
      <c r="G1254" t="s">
        <v>120</v>
      </c>
      <c r="H1254" t="s">
        <v>120</v>
      </c>
      <c r="I1254"/>
    </row>
    <row r="1255" spans="1:9">
      <c r="A1255" t="s">
        <v>1136</v>
      </c>
      <c r="B1255" s="1" t="str">
        <f>"20202170.2"</f>
        <v>20202170.2</v>
      </c>
      <c r="C1255" t="s">
        <v>407</v>
      </c>
      <c r="D1255" t="s">
        <v>1332</v>
      </c>
      <c r="E1255" s="2"/>
      <c r="F1255" t="s">
        <v>66</v>
      </c>
      <c r="G1255" t="s">
        <v>120</v>
      </c>
      <c r="H1255" t="s">
        <v>1088</v>
      </c>
      <c r="I1255"/>
    </row>
    <row r="1256" spans="1:9">
      <c r="A1256" t="s">
        <v>1136</v>
      </c>
      <c r="B1256" s="1" t="str">
        <f>"20051839"</f>
        <v>20051839</v>
      </c>
      <c r="C1256" t="s">
        <v>407</v>
      </c>
      <c r="D1256" t="s">
        <v>1333</v>
      </c>
      <c r="E1256" s="2"/>
      <c r="F1256"/>
      <c r="G1256" t="s">
        <v>243</v>
      </c>
      <c r="H1256" t="s">
        <v>243</v>
      </c>
      <c r="I1256"/>
    </row>
    <row r="1257" spans="1:9">
      <c r="A1257" t="s">
        <v>1136</v>
      </c>
      <c r="B1257" s="1" t="str">
        <f>"20051839.2"</f>
        <v>20051839.2</v>
      </c>
      <c r="C1257" t="s">
        <v>407</v>
      </c>
      <c r="D1257" t="s">
        <v>1333</v>
      </c>
      <c r="E1257" s="2"/>
      <c r="F1257"/>
      <c r="G1257" t="s">
        <v>243</v>
      </c>
      <c r="H1257" t="s">
        <v>218</v>
      </c>
      <c r="I1257"/>
    </row>
    <row r="1258" spans="1:9">
      <c r="A1258" t="s">
        <v>1136</v>
      </c>
      <c r="B1258" s="1" t="str">
        <f>"20517045"</f>
        <v>20517045</v>
      </c>
      <c r="C1258" t="s">
        <v>407</v>
      </c>
      <c r="D1258" t="s">
        <v>1334</v>
      </c>
      <c r="E1258" s="2"/>
      <c r="F1258" t="s">
        <v>31</v>
      </c>
      <c r="G1258" t="s">
        <v>29</v>
      </c>
      <c r="H1258" t="s">
        <v>29</v>
      </c>
      <c r="I1258"/>
    </row>
    <row r="1259" spans="1:9">
      <c r="A1259" t="s">
        <v>1136</v>
      </c>
      <c r="B1259" s="1" t="str">
        <f>"20517045.2"</f>
        <v>20517045.2</v>
      </c>
      <c r="C1259" t="s">
        <v>407</v>
      </c>
      <c r="D1259" t="s">
        <v>1334</v>
      </c>
      <c r="E1259" s="2"/>
      <c r="F1259" t="s">
        <v>31</v>
      </c>
      <c r="G1259" t="s">
        <v>29</v>
      </c>
      <c r="H1259" t="s">
        <v>332</v>
      </c>
      <c r="I1259"/>
    </row>
    <row r="1260" spans="1:9">
      <c r="A1260" t="s">
        <v>1136</v>
      </c>
      <c r="B1260" s="1" t="str">
        <f>"20065468"</f>
        <v>20065468</v>
      </c>
      <c r="C1260" t="s">
        <v>407</v>
      </c>
      <c r="D1260" t="s">
        <v>1335</v>
      </c>
      <c r="E1260" s="2"/>
      <c r="F1260" t="s">
        <v>1171</v>
      </c>
      <c r="G1260" t="s">
        <v>38</v>
      </c>
      <c r="H1260" t="s">
        <v>38</v>
      </c>
      <c r="I1260"/>
    </row>
    <row r="1261" spans="1:9">
      <c r="A1261" t="s">
        <v>1136</v>
      </c>
      <c r="B1261" s="1" t="str">
        <f>"20065468.2"</f>
        <v>20065468.2</v>
      </c>
      <c r="C1261" t="s">
        <v>407</v>
      </c>
      <c r="D1261" t="s">
        <v>1335</v>
      </c>
      <c r="E1261" s="2"/>
      <c r="F1261" t="s">
        <v>1171</v>
      </c>
      <c r="G1261" t="s">
        <v>38</v>
      </c>
      <c r="H1261" t="s">
        <v>1088</v>
      </c>
      <c r="I1261"/>
    </row>
    <row r="1262" spans="1:9">
      <c r="A1262" t="s">
        <v>1136</v>
      </c>
      <c r="B1262" s="1" t="str">
        <f>"20065469"</f>
        <v>20065469</v>
      </c>
      <c r="C1262" t="s">
        <v>407</v>
      </c>
      <c r="D1262" t="s">
        <v>1336</v>
      </c>
      <c r="E1262" s="2"/>
      <c r="F1262"/>
      <c r="G1262" t="s">
        <v>38</v>
      </c>
      <c r="H1262" t="s">
        <v>38</v>
      </c>
      <c r="I1262"/>
    </row>
    <row r="1263" spans="1:9">
      <c r="A1263" t="s">
        <v>1136</v>
      </c>
      <c r="B1263" s="1" t="str">
        <f>"20065469.2"</f>
        <v>20065469.2</v>
      </c>
      <c r="C1263" t="s">
        <v>407</v>
      </c>
      <c r="D1263" t="s">
        <v>1336</v>
      </c>
      <c r="E1263" s="2"/>
      <c r="F1263"/>
      <c r="G1263" t="s">
        <v>38</v>
      </c>
      <c r="H1263" t="s">
        <v>1088</v>
      </c>
      <c r="I1263"/>
    </row>
    <row r="1264" spans="1:9">
      <c r="A1264" t="s">
        <v>1136</v>
      </c>
      <c r="B1264" s="1" t="str">
        <f>"20065470"</f>
        <v>20065470</v>
      </c>
      <c r="C1264" t="s">
        <v>407</v>
      </c>
      <c r="D1264" t="s">
        <v>1337</v>
      </c>
      <c r="E1264" s="2"/>
      <c r="F1264" t="s">
        <v>1338</v>
      </c>
      <c r="G1264" t="s">
        <v>38</v>
      </c>
      <c r="H1264" t="s">
        <v>38</v>
      </c>
      <c r="I1264"/>
    </row>
    <row r="1265" spans="1:9">
      <c r="A1265" t="s">
        <v>1136</v>
      </c>
      <c r="B1265" s="1" t="str">
        <f>"20065470.2"</f>
        <v>20065470.2</v>
      </c>
      <c r="C1265" t="s">
        <v>407</v>
      </c>
      <c r="D1265" t="s">
        <v>1337</v>
      </c>
      <c r="E1265" s="2"/>
      <c r="F1265" t="s">
        <v>1338</v>
      </c>
      <c r="G1265" t="s">
        <v>38</v>
      </c>
      <c r="H1265" t="s">
        <v>1088</v>
      </c>
      <c r="I1265"/>
    </row>
    <row r="1266" spans="1:9">
      <c r="A1266" t="s">
        <v>1136</v>
      </c>
      <c r="B1266" s="1" t="str">
        <f>"20065471"</f>
        <v>20065471</v>
      </c>
      <c r="C1266" t="s">
        <v>407</v>
      </c>
      <c r="D1266" t="s">
        <v>1339</v>
      </c>
      <c r="E1266" s="2"/>
      <c r="F1266" t="s">
        <v>1148</v>
      </c>
      <c r="G1266" t="s">
        <v>38</v>
      </c>
      <c r="H1266" t="s">
        <v>38</v>
      </c>
      <c r="I1266"/>
    </row>
    <row r="1267" spans="1:9">
      <c r="A1267" t="s">
        <v>1136</v>
      </c>
      <c r="B1267" s="1" t="str">
        <f>"20065471.2"</f>
        <v>20065471.2</v>
      </c>
      <c r="C1267" t="s">
        <v>407</v>
      </c>
      <c r="D1267" t="s">
        <v>1339</v>
      </c>
      <c r="E1267" s="2"/>
      <c r="F1267" t="s">
        <v>1148</v>
      </c>
      <c r="G1267" t="s">
        <v>38</v>
      </c>
      <c r="H1267" t="s">
        <v>1088</v>
      </c>
      <c r="I1267"/>
    </row>
    <row r="1268" spans="1:9">
      <c r="A1268" t="s">
        <v>1136</v>
      </c>
      <c r="B1268" s="1" t="str">
        <f>"20065472"</f>
        <v>20065472</v>
      </c>
      <c r="C1268" t="s">
        <v>407</v>
      </c>
      <c r="D1268" t="s">
        <v>1340</v>
      </c>
      <c r="E1268" s="2"/>
      <c r="F1268" t="s">
        <v>547</v>
      </c>
      <c r="G1268" t="s">
        <v>38</v>
      </c>
      <c r="H1268" t="s">
        <v>38</v>
      </c>
      <c r="I1268"/>
    </row>
    <row r="1269" spans="1:9">
      <c r="A1269" t="s">
        <v>1136</v>
      </c>
      <c r="B1269" s="1" t="str">
        <f>"20065472.2"</f>
        <v>20065472.2</v>
      </c>
      <c r="C1269" t="s">
        <v>407</v>
      </c>
      <c r="D1269" t="s">
        <v>1340</v>
      </c>
      <c r="E1269" s="2"/>
      <c r="F1269" t="s">
        <v>547</v>
      </c>
      <c r="G1269" t="s">
        <v>38</v>
      </c>
      <c r="H1269" t="s">
        <v>1088</v>
      </c>
      <c r="I1269"/>
    </row>
    <row r="1270" spans="1:9">
      <c r="A1270" t="s">
        <v>1136</v>
      </c>
      <c r="B1270" s="1" t="str">
        <f>"20031848"</f>
        <v>20031848</v>
      </c>
      <c r="C1270" t="s">
        <v>1341</v>
      </c>
      <c r="D1270" t="s">
        <v>1342</v>
      </c>
      <c r="E1270" s="2"/>
      <c r="F1270" t="s">
        <v>90</v>
      </c>
      <c r="G1270" t="s">
        <v>227</v>
      </c>
      <c r="H1270" t="s">
        <v>227</v>
      </c>
      <c r="I1270"/>
    </row>
    <row r="1271" spans="1:9">
      <c r="A1271" t="s">
        <v>1136</v>
      </c>
      <c r="B1271" s="1" t="str">
        <f>"20031848.2"</f>
        <v>20031848.2</v>
      </c>
      <c r="C1271" t="s">
        <v>1341</v>
      </c>
      <c r="D1271" t="s">
        <v>1342</v>
      </c>
      <c r="E1271" s="2"/>
      <c r="F1271" t="s">
        <v>90</v>
      </c>
      <c r="G1271" t="s">
        <v>227</v>
      </c>
      <c r="H1271" t="s">
        <v>218</v>
      </c>
      <c r="I1271"/>
    </row>
    <row r="1272" spans="1:9">
      <c r="A1272" t="s">
        <v>1136</v>
      </c>
      <c r="B1272" s="1" t="str">
        <f>"20031817"</f>
        <v>20031817</v>
      </c>
      <c r="C1272" t="s">
        <v>1341</v>
      </c>
      <c r="D1272" t="s">
        <v>1343</v>
      </c>
      <c r="E1272" s="2"/>
      <c r="F1272" t="s">
        <v>90</v>
      </c>
      <c r="G1272" t="s">
        <v>232</v>
      </c>
      <c r="H1272" t="s">
        <v>232</v>
      </c>
      <c r="I1272"/>
    </row>
    <row r="1273" spans="1:9">
      <c r="A1273" t="s">
        <v>1136</v>
      </c>
      <c r="B1273" s="1" t="str">
        <f>"20031817.2"</f>
        <v>20031817.2</v>
      </c>
      <c r="C1273" t="s">
        <v>1341</v>
      </c>
      <c r="D1273" t="s">
        <v>1343</v>
      </c>
      <c r="E1273" s="2"/>
      <c r="F1273" t="s">
        <v>90</v>
      </c>
      <c r="G1273" t="s">
        <v>232</v>
      </c>
      <c r="H1273" t="s">
        <v>218</v>
      </c>
      <c r="I1273"/>
    </row>
    <row r="1274" spans="1:9">
      <c r="A1274" t="s">
        <v>1136</v>
      </c>
      <c r="B1274" s="1" t="str">
        <f>"20051841"</f>
        <v>20051841</v>
      </c>
      <c r="C1274" t="s">
        <v>1344</v>
      </c>
      <c r="D1274" t="s">
        <v>1345</v>
      </c>
      <c r="E1274" s="2"/>
      <c r="F1274" t="s">
        <v>414</v>
      </c>
      <c r="G1274" t="s">
        <v>122</v>
      </c>
      <c r="H1274" t="s">
        <v>122</v>
      </c>
      <c r="I1274"/>
    </row>
    <row r="1275" spans="1:9">
      <c r="A1275" t="s">
        <v>1136</v>
      </c>
      <c r="B1275" s="1" t="str">
        <f>"20101442"</f>
        <v>20101442</v>
      </c>
      <c r="C1275" t="s">
        <v>1346</v>
      </c>
      <c r="D1275" t="s">
        <v>1347</v>
      </c>
      <c r="E1275" s="2"/>
      <c r="F1275" t="s">
        <v>105</v>
      </c>
      <c r="G1275" t="s">
        <v>37</v>
      </c>
      <c r="H1275" t="s">
        <v>37</v>
      </c>
      <c r="I1275"/>
    </row>
    <row r="1276" spans="1:9">
      <c r="A1276" t="s">
        <v>1136</v>
      </c>
      <c r="B1276" s="1" t="str">
        <f>"20119966"</f>
        <v>20119966</v>
      </c>
      <c r="C1276" t="s">
        <v>1348</v>
      </c>
      <c r="D1276" t="s">
        <v>1349</v>
      </c>
      <c r="E1276" s="2"/>
      <c r="F1276"/>
      <c r="G1276" t="s">
        <v>80</v>
      </c>
      <c r="H1276" t="s">
        <v>80</v>
      </c>
      <c r="I1276"/>
    </row>
    <row r="1277" spans="1:9">
      <c r="A1277" t="s">
        <v>1350</v>
      </c>
      <c r="B1277" s="1" t="str">
        <f>"12009798"</f>
        <v>12009798</v>
      </c>
      <c r="C1277" t="s">
        <v>260</v>
      </c>
      <c r="D1277" t="s">
        <v>1351</v>
      </c>
      <c r="E1277" s="2"/>
      <c r="F1277" t="s">
        <v>105</v>
      </c>
      <c r="G1277" t="s">
        <v>571</v>
      </c>
      <c r="H1277" t="s">
        <v>517</v>
      </c>
      <c r="I1277"/>
    </row>
    <row r="1278" spans="1:9">
      <c r="A1278" t="s">
        <v>1350</v>
      </c>
      <c r="B1278" s="1" t="str">
        <f>"12003041"</f>
        <v>12003041</v>
      </c>
      <c r="C1278" t="s">
        <v>260</v>
      </c>
      <c r="D1278" t="s">
        <v>1352</v>
      </c>
      <c r="E1278" s="2"/>
      <c r="F1278" t="s">
        <v>1353</v>
      </c>
      <c r="G1278" t="s">
        <v>120</v>
      </c>
      <c r="H1278" t="s">
        <v>1088</v>
      </c>
      <c r="I1278"/>
    </row>
    <row r="1279" spans="1:9">
      <c r="A1279" t="s">
        <v>1350</v>
      </c>
      <c r="B1279" s="1" t="str">
        <f>"12020398"</f>
        <v>12020398</v>
      </c>
      <c r="C1279" t="s">
        <v>1354</v>
      </c>
      <c r="D1279" t="s">
        <v>1355</v>
      </c>
      <c r="E1279" s="2"/>
      <c r="F1279" t="s">
        <v>492</v>
      </c>
      <c r="G1279" t="s">
        <v>156</v>
      </c>
      <c r="H1279" t="s">
        <v>383</v>
      </c>
      <c r="I1279"/>
    </row>
    <row r="1280" spans="1:9">
      <c r="A1280" t="s">
        <v>1350</v>
      </c>
      <c r="B1280" s="1" t="str">
        <f>"20115203"</f>
        <v>20115203</v>
      </c>
      <c r="C1280" t="s">
        <v>423</v>
      </c>
      <c r="D1280" t="s">
        <v>1356</v>
      </c>
      <c r="E1280" s="2"/>
      <c r="F1280" t="s">
        <v>217</v>
      </c>
      <c r="G1280" t="s">
        <v>37</v>
      </c>
      <c r="H1280" t="s">
        <v>37</v>
      </c>
      <c r="I1280"/>
    </row>
    <row r="1281" spans="1:9">
      <c r="A1281" t="s">
        <v>1350</v>
      </c>
      <c r="B1281" s="1" t="str">
        <f>"20114985"</f>
        <v>20114985</v>
      </c>
      <c r="C1281" t="s">
        <v>423</v>
      </c>
      <c r="D1281" t="s">
        <v>1357</v>
      </c>
      <c r="E1281" s="2"/>
      <c r="F1281" t="s">
        <v>1358</v>
      </c>
      <c r="G1281" t="s">
        <v>37</v>
      </c>
      <c r="H1281" t="s">
        <v>37</v>
      </c>
      <c r="I1281"/>
    </row>
    <row r="1282" spans="1:9">
      <c r="A1282" t="s">
        <v>1350</v>
      </c>
      <c r="B1282" s="1" t="str">
        <f>"20825898"</f>
        <v>20825898</v>
      </c>
      <c r="C1282" t="s">
        <v>423</v>
      </c>
      <c r="D1282" t="s">
        <v>1359</v>
      </c>
      <c r="E1282" s="2"/>
      <c r="F1282" t="s">
        <v>1148</v>
      </c>
      <c r="G1282" t="s">
        <v>120</v>
      </c>
      <c r="H1282" t="s">
        <v>120</v>
      </c>
      <c r="I1282"/>
    </row>
    <row r="1283" spans="1:9">
      <c r="A1283" t="s">
        <v>1350</v>
      </c>
      <c r="B1283" s="1" t="str">
        <f>"12009684"</f>
        <v>12009684</v>
      </c>
      <c r="C1283" t="s">
        <v>1360</v>
      </c>
      <c r="D1283" t="s">
        <v>1361</v>
      </c>
      <c r="E1283" s="2"/>
      <c r="F1283" t="s">
        <v>22</v>
      </c>
      <c r="G1283" t="s">
        <v>571</v>
      </c>
      <c r="H1283" t="s">
        <v>517</v>
      </c>
      <c r="I1283"/>
    </row>
    <row r="1284" spans="1:9">
      <c r="A1284" t="s">
        <v>1350</v>
      </c>
      <c r="B1284" s="1" t="str">
        <f>"20116811"</f>
        <v>20116811</v>
      </c>
      <c r="C1284" t="s">
        <v>343</v>
      </c>
      <c r="D1284" t="s">
        <v>1362</v>
      </c>
      <c r="E1284" s="2"/>
      <c r="F1284" t="s">
        <v>79</v>
      </c>
      <c r="G1284" t="s">
        <v>1074</v>
      </c>
      <c r="H1284" t="s">
        <v>1074</v>
      </c>
      <c r="I1284"/>
    </row>
    <row r="1285" spans="1:9">
      <c r="A1285" t="s">
        <v>1350</v>
      </c>
      <c r="B1285" s="1" t="str">
        <f>"20116811.2"</f>
        <v>20116811.2</v>
      </c>
      <c r="C1285" t="s">
        <v>343</v>
      </c>
      <c r="D1285" t="s">
        <v>1362</v>
      </c>
      <c r="E1285" s="2"/>
      <c r="F1285" t="s">
        <v>79</v>
      </c>
      <c r="G1285" t="s">
        <v>1074</v>
      </c>
      <c r="H1285" t="s">
        <v>1106</v>
      </c>
      <c r="I1285"/>
    </row>
    <row r="1286" spans="1:9">
      <c r="A1286" t="s">
        <v>1350</v>
      </c>
      <c r="B1286" s="1" t="str">
        <f>"12012105"</f>
        <v>12012105</v>
      </c>
      <c r="C1286" t="s">
        <v>1363</v>
      </c>
      <c r="D1286" t="s">
        <v>1364</v>
      </c>
      <c r="E1286" s="2"/>
      <c r="F1286"/>
      <c r="G1286" t="s">
        <v>695</v>
      </c>
      <c r="H1286" t="s">
        <v>517</v>
      </c>
      <c r="I1286"/>
    </row>
    <row r="1287" spans="1:9">
      <c r="A1287" t="s">
        <v>1350</v>
      </c>
      <c r="B1287" s="1" t="str">
        <f>"12006240"</f>
        <v>12006240</v>
      </c>
      <c r="C1287" t="s">
        <v>1363</v>
      </c>
      <c r="D1287" t="s">
        <v>1365</v>
      </c>
      <c r="E1287" s="2"/>
      <c r="F1287"/>
      <c r="G1287" t="s">
        <v>1034</v>
      </c>
      <c r="H1287" t="s">
        <v>1088</v>
      </c>
      <c r="I1287"/>
    </row>
    <row r="1288" spans="1:9">
      <c r="A1288" t="s">
        <v>1350</v>
      </c>
      <c r="B1288" s="1" t="str">
        <f>"12518042"</f>
        <v>12518042</v>
      </c>
      <c r="C1288" t="s">
        <v>1363</v>
      </c>
      <c r="D1288" t="s">
        <v>1366</v>
      </c>
      <c r="E1288" s="2"/>
      <c r="F1288" t="s">
        <v>1148</v>
      </c>
      <c r="G1288" t="s">
        <v>54</v>
      </c>
      <c r="H1288" t="s">
        <v>517</v>
      </c>
      <c r="I1288"/>
    </row>
    <row r="1289" spans="1:9">
      <c r="A1289" t="s">
        <v>1350</v>
      </c>
      <c r="B1289" s="1" t="str">
        <f>"12517430"</f>
        <v>12517430</v>
      </c>
      <c r="C1289" t="s">
        <v>1363</v>
      </c>
      <c r="D1289" t="s">
        <v>1367</v>
      </c>
      <c r="E1289" s="2"/>
      <c r="F1289" t="s">
        <v>1338</v>
      </c>
      <c r="G1289" t="s">
        <v>1368</v>
      </c>
      <c r="H1289" t="s">
        <v>1369</v>
      </c>
      <c r="I1289"/>
    </row>
    <row r="1290" spans="1:9">
      <c r="A1290" t="s">
        <v>1350</v>
      </c>
      <c r="B1290" s="1" t="str">
        <f>"12105204"</f>
        <v>12105204</v>
      </c>
      <c r="C1290" t="s">
        <v>1363</v>
      </c>
      <c r="D1290" t="s">
        <v>1370</v>
      </c>
      <c r="E1290" s="2"/>
      <c r="F1290" t="s">
        <v>33</v>
      </c>
      <c r="G1290" t="s">
        <v>296</v>
      </c>
      <c r="H1290" t="s">
        <v>517</v>
      </c>
      <c r="I1290"/>
    </row>
    <row r="1291" spans="1:9">
      <c r="A1291" t="s">
        <v>1350</v>
      </c>
      <c r="B1291" s="1" t="str">
        <f>"12519414"</f>
        <v>12519414</v>
      </c>
      <c r="C1291" t="s">
        <v>1363</v>
      </c>
      <c r="D1291" t="s">
        <v>1371</v>
      </c>
      <c r="E1291" s="2"/>
      <c r="F1291" t="s">
        <v>267</v>
      </c>
      <c r="G1291" t="s">
        <v>54</v>
      </c>
      <c r="H1291" t="s">
        <v>517</v>
      </c>
      <c r="I1291"/>
    </row>
    <row r="1292" spans="1:9">
      <c r="A1292" t="s">
        <v>1350</v>
      </c>
      <c r="B1292" s="1" t="str">
        <f>"12009624"</f>
        <v>12009624</v>
      </c>
      <c r="C1292" t="s">
        <v>1363</v>
      </c>
      <c r="D1292" t="s">
        <v>1372</v>
      </c>
      <c r="E1292" s="2"/>
      <c r="F1292" t="s">
        <v>877</v>
      </c>
      <c r="G1292" t="s">
        <v>1373</v>
      </c>
      <c r="H1292" t="s">
        <v>1088</v>
      </c>
      <c r="I1292"/>
    </row>
    <row r="1293" spans="1:9">
      <c r="A1293" t="s">
        <v>1350</v>
      </c>
      <c r="B1293" s="1" t="str">
        <f>"12009619"</f>
        <v>12009619</v>
      </c>
      <c r="C1293" t="s">
        <v>1363</v>
      </c>
      <c r="D1293" t="s">
        <v>1374</v>
      </c>
      <c r="E1293" s="2"/>
      <c r="F1293" t="s">
        <v>1148</v>
      </c>
      <c r="G1293" t="s">
        <v>1373</v>
      </c>
      <c r="H1293" t="s">
        <v>1088</v>
      </c>
      <c r="I1293"/>
    </row>
    <row r="1294" spans="1:9">
      <c r="A1294" t="s">
        <v>1350</v>
      </c>
      <c r="B1294" s="1" t="str">
        <f>"12009622"</f>
        <v>12009622</v>
      </c>
      <c r="C1294" t="s">
        <v>1363</v>
      </c>
      <c r="D1294" t="s">
        <v>1375</v>
      </c>
      <c r="E1294" s="2"/>
      <c r="F1294" t="s">
        <v>1148</v>
      </c>
      <c r="G1294" t="s">
        <v>1373</v>
      </c>
      <c r="H1294" t="s">
        <v>1088</v>
      </c>
      <c r="I1294"/>
    </row>
    <row r="1295" spans="1:9">
      <c r="A1295" t="s">
        <v>1350</v>
      </c>
      <c r="B1295" s="1" t="str">
        <f>"12014191"</f>
        <v>12014191</v>
      </c>
      <c r="C1295" t="s">
        <v>1363</v>
      </c>
      <c r="D1295" t="s">
        <v>1376</v>
      </c>
      <c r="E1295" s="2"/>
      <c r="F1295"/>
      <c r="G1295" t="s">
        <v>695</v>
      </c>
      <c r="H1295" t="s">
        <v>517</v>
      </c>
      <c r="I1295"/>
    </row>
    <row r="1296" spans="1:9">
      <c r="A1296" t="s">
        <v>1350</v>
      </c>
      <c r="B1296" s="1" t="str">
        <f>"12052763"</f>
        <v>12052763</v>
      </c>
      <c r="C1296" t="s">
        <v>1363</v>
      </c>
      <c r="D1296" t="s">
        <v>1377</v>
      </c>
      <c r="E1296" s="2"/>
      <c r="F1296" t="s">
        <v>56</v>
      </c>
      <c r="G1296" t="s">
        <v>54</v>
      </c>
      <c r="H1296" t="s">
        <v>517</v>
      </c>
      <c r="I1296"/>
    </row>
    <row r="1297" spans="1:9">
      <c r="A1297" t="s">
        <v>1350</v>
      </c>
      <c r="B1297" s="1" t="str">
        <f>"12153839"</f>
        <v>12153839</v>
      </c>
      <c r="C1297" t="s">
        <v>1363</v>
      </c>
      <c r="D1297" t="s">
        <v>1378</v>
      </c>
      <c r="E1297" s="2"/>
      <c r="F1297" t="s">
        <v>1379</v>
      </c>
      <c r="G1297" t="s">
        <v>695</v>
      </c>
      <c r="H1297" t="s">
        <v>517</v>
      </c>
      <c r="I1297"/>
    </row>
    <row r="1298" spans="1:9">
      <c r="A1298" t="s">
        <v>1350</v>
      </c>
      <c r="B1298" s="1" t="str">
        <f>"12517106"</f>
        <v>12517106</v>
      </c>
      <c r="C1298" t="s">
        <v>1363</v>
      </c>
      <c r="D1298" t="s">
        <v>1380</v>
      </c>
      <c r="E1298" s="2"/>
      <c r="F1298" t="s">
        <v>681</v>
      </c>
      <c r="G1298" t="s">
        <v>296</v>
      </c>
      <c r="H1298" t="s">
        <v>517</v>
      </c>
      <c r="I1298"/>
    </row>
    <row r="1299" spans="1:9">
      <c r="A1299" t="s">
        <v>1350</v>
      </c>
      <c r="B1299" s="1" t="str">
        <f>"12517113"</f>
        <v>12517113</v>
      </c>
      <c r="C1299" t="s">
        <v>1363</v>
      </c>
      <c r="D1299" t="s">
        <v>1381</v>
      </c>
      <c r="E1299" s="2"/>
      <c r="F1299" t="s">
        <v>681</v>
      </c>
      <c r="G1299" t="s">
        <v>296</v>
      </c>
      <c r="H1299" t="s">
        <v>517</v>
      </c>
      <c r="I1299"/>
    </row>
    <row r="1300" spans="1:9">
      <c r="A1300" t="s">
        <v>1350</v>
      </c>
      <c r="B1300" s="1" t="str">
        <f>"12519438"</f>
        <v>12519438</v>
      </c>
      <c r="C1300" t="s">
        <v>1363</v>
      </c>
      <c r="D1300" t="s">
        <v>1382</v>
      </c>
      <c r="E1300" s="2"/>
      <c r="F1300" t="s">
        <v>1383</v>
      </c>
      <c r="G1300" t="s">
        <v>296</v>
      </c>
      <c r="H1300" t="s">
        <v>517</v>
      </c>
      <c r="I1300"/>
    </row>
    <row r="1301" spans="1:9">
      <c r="A1301" t="s">
        <v>1350</v>
      </c>
      <c r="B1301" s="1" t="str">
        <f>"12517151"</f>
        <v>12517151</v>
      </c>
      <c r="C1301" t="s">
        <v>1363</v>
      </c>
      <c r="D1301" t="s">
        <v>1384</v>
      </c>
      <c r="E1301" s="2"/>
      <c r="F1301" t="s">
        <v>681</v>
      </c>
      <c r="G1301" t="s">
        <v>296</v>
      </c>
      <c r="H1301" t="s">
        <v>517</v>
      </c>
      <c r="I1301"/>
    </row>
    <row r="1302" spans="1:9">
      <c r="A1302" t="s">
        <v>1350</v>
      </c>
      <c r="B1302" s="1" t="str">
        <f>"12517281"</f>
        <v>12517281</v>
      </c>
      <c r="C1302" t="s">
        <v>1363</v>
      </c>
      <c r="D1302" t="s">
        <v>1385</v>
      </c>
      <c r="E1302" s="2"/>
      <c r="F1302" t="s">
        <v>1148</v>
      </c>
      <c r="G1302" t="s">
        <v>54</v>
      </c>
      <c r="H1302" t="s">
        <v>517</v>
      </c>
      <c r="I1302"/>
    </row>
    <row r="1303" spans="1:9">
      <c r="A1303" t="s">
        <v>1350</v>
      </c>
      <c r="B1303" s="1" t="str">
        <f>"12519247"</f>
        <v>12519247</v>
      </c>
      <c r="C1303" t="s">
        <v>1363</v>
      </c>
      <c r="D1303" t="s">
        <v>1386</v>
      </c>
      <c r="E1303" s="2"/>
      <c r="F1303" t="s">
        <v>56</v>
      </c>
      <c r="G1303" t="s">
        <v>1369</v>
      </c>
      <c r="H1303" t="s">
        <v>383</v>
      </c>
      <c r="I1303"/>
    </row>
    <row r="1304" spans="1:9">
      <c r="A1304" t="s">
        <v>1350</v>
      </c>
      <c r="B1304" s="1" t="str">
        <f>"12519355"</f>
        <v>12519355</v>
      </c>
      <c r="C1304" t="s">
        <v>1363</v>
      </c>
      <c r="D1304" t="s">
        <v>1387</v>
      </c>
      <c r="E1304" s="2"/>
      <c r="F1304" t="s">
        <v>267</v>
      </c>
      <c r="G1304" t="s">
        <v>1369</v>
      </c>
      <c r="H1304" t="s">
        <v>383</v>
      </c>
      <c r="I1304"/>
    </row>
    <row r="1305" spans="1:9">
      <c r="A1305" t="s">
        <v>1350</v>
      </c>
      <c r="B1305" s="1" t="str">
        <f>"12009614"</f>
        <v>12009614</v>
      </c>
      <c r="C1305" t="s">
        <v>1363</v>
      </c>
      <c r="D1305" t="s">
        <v>1388</v>
      </c>
      <c r="E1305" s="2"/>
      <c r="F1305" t="s">
        <v>1338</v>
      </c>
      <c r="G1305" t="s">
        <v>1369</v>
      </c>
      <c r="H1305" t="s">
        <v>383</v>
      </c>
      <c r="I1305"/>
    </row>
    <row r="1306" spans="1:9">
      <c r="A1306" t="s">
        <v>1350</v>
      </c>
      <c r="B1306" s="1" t="str">
        <f>"12519087"</f>
        <v>12519087</v>
      </c>
      <c r="C1306" t="s">
        <v>1363</v>
      </c>
      <c r="D1306" t="s">
        <v>1389</v>
      </c>
      <c r="E1306" s="2"/>
      <c r="F1306" t="s">
        <v>1390</v>
      </c>
      <c r="G1306" t="s">
        <v>1369</v>
      </c>
      <c r="H1306" t="s">
        <v>383</v>
      </c>
      <c r="I1306"/>
    </row>
    <row r="1307" spans="1:9">
      <c r="A1307" t="s">
        <v>1350</v>
      </c>
      <c r="B1307" s="1" t="str">
        <f>"12519094"</f>
        <v>12519094</v>
      </c>
      <c r="C1307" t="s">
        <v>1363</v>
      </c>
      <c r="D1307" t="s">
        <v>1391</v>
      </c>
      <c r="E1307" s="2"/>
      <c r="F1307" t="s">
        <v>1383</v>
      </c>
      <c r="G1307" t="s">
        <v>1369</v>
      </c>
      <c r="H1307" t="s">
        <v>383</v>
      </c>
      <c r="I1307"/>
    </row>
    <row r="1308" spans="1:9">
      <c r="A1308" t="s">
        <v>1350</v>
      </c>
      <c r="B1308" s="1" t="str">
        <f>"12519292"</f>
        <v>12519292</v>
      </c>
      <c r="C1308" t="s">
        <v>1363</v>
      </c>
      <c r="D1308" t="s">
        <v>1392</v>
      </c>
      <c r="E1308" s="2"/>
      <c r="F1308" t="s">
        <v>681</v>
      </c>
      <c r="G1308" t="s">
        <v>1369</v>
      </c>
      <c r="H1308" t="s">
        <v>383</v>
      </c>
      <c r="I1308"/>
    </row>
    <row r="1309" spans="1:9">
      <c r="A1309" t="s">
        <v>1350</v>
      </c>
      <c r="B1309" s="1" t="str">
        <f>"12009615"</f>
        <v>12009615</v>
      </c>
      <c r="C1309" t="s">
        <v>1363</v>
      </c>
      <c r="D1309" t="s">
        <v>1393</v>
      </c>
      <c r="E1309" s="2"/>
      <c r="F1309" t="s">
        <v>681</v>
      </c>
      <c r="G1309" t="s">
        <v>1369</v>
      </c>
      <c r="H1309" t="s">
        <v>383</v>
      </c>
      <c r="I1309"/>
    </row>
    <row r="1310" spans="1:9">
      <c r="A1310" t="s">
        <v>1350</v>
      </c>
      <c r="B1310" s="1" t="str">
        <f>"12519607"</f>
        <v>12519607</v>
      </c>
      <c r="C1310" t="s">
        <v>1363</v>
      </c>
      <c r="D1310" t="s">
        <v>1394</v>
      </c>
      <c r="E1310" s="2"/>
      <c r="F1310" t="s">
        <v>56</v>
      </c>
      <c r="G1310" t="s">
        <v>1369</v>
      </c>
      <c r="H1310" t="s">
        <v>383</v>
      </c>
      <c r="I1310"/>
    </row>
    <row r="1311" spans="1:9">
      <c r="A1311" t="s">
        <v>1350</v>
      </c>
      <c r="B1311" s="1" t="str">
        <f>"12009776"</f>
        <v>12009776</v>
      </c>
      <c r="C1311" t="s">
        <v>1363</v>
      </c>
      <c r="D1311" t="s">
        <v>1395</v>
      </c>
      <c r="E1311" s="2"/>
      <c r="F1311" t="s">
        <v>56</v>
      </c>
      <c r="G1311" t="s">
        <v>1369</v>
      </c>
      <c r="H1311" t="s">
        <v>383</v>
      </c>
      <c r="I1311"/>
    </row>
    <row r="1312" spans="1:9">
      <c r="A1312" t="s">
        <v>1350</v>
      </c>
      <c r="B1312" s="1" t="str">
        <f>"12519254"</f>
        <v>12519254</v>
      </c>
      <c r="C1312" t="s">
        <v>1363</v>
      </c>
      <c r="D1312" t="s">
        <v>1396</v>
      </c>
      <c r="E1312" s="2"/>
      <c r="F1312" t="s">
        <v>107</v>
      </c>
      <c r="G1312" t="s">
        <v>1369</v>
      </c>
      <c r="H1312" t="s">
        <v>383</v>
      </c>
      <c r="I1312"/>
    </row>
    <row r="1313" spans="1:9">
      <c r="A1313" t="s">
        <v>1350</v>
      </c>
      <c r="B1313" s="1" t="str">
        <f>"12519261"</f>
        <v>12519261</v>
      </c>
      <c r="C1313" t="s">
        <v>1363</v>
      </c>
      <c r="D1313" t="s">
        <v>1397</v>
      </c>
      <c r="E1313" s="2"/>
      <c r="F1313" t="s">
        <v>1390</v>
      </c>
      <c r="G1313" t="s">
        <v>1369</v>
      </c>
      <c r="H1313" t="s">
        <v>383</v>
      </c>
      <c r="I1313"/>
    </row>
    <row r="1314" spans="1:9">
      <c r="A1314" t="s">
        <v>1350</v>
      </c>
      <c r="B1314" s="1" t="str">
        <f>"12119901"</f>
        <v>12119901</v>
      </c>
      <c r="C1314" t="s">
        <v>1363</v>
      </c>
      <c r="D1314" t="s">
        <v>1398</v>
      </c>
      <c r="E1314" s="2"/>
      <c r="F1314" t="s">
        <v>1399</v>
      </c>
      <c r="G1314" t="s">
        <v>1369</v>
      </c>
      <c r="H1314" t="s">
        <v>383</v>
      </c>
      <c r="I1314"/>
    </row>
    <row r="1315" spans="1:9">
      <c r="A1315" t="s">
        <v>1350</v>
      </c>
      <c r="B1315" s="1" t="str">
        <f>"12009613"</f>
        <v>12009613</v>
      </c>
      <c r="C1315" t="s">
        <v>1363</v>
      </c>
      <c r="D1315" t="s">
        <v>1400</v>
      </c>
      <c r="E1315" s="2"/>
      <c r="F1315" t="s">
        <v>877</v>
      </c>
      <c r="G1315" t="s">
        <v>1369</v>
      </c>
      <c r="H1315" t="s">
        <v>383</v>
      </c>
      <c r="I1315"/>
    </row>
    <row r="1316" spans="1:9">
      <c r="A1316" t="s">
        <v>1350</v>
      </c>
      <c r="B1316" s="1" t="str">
        <f>"12009616"</f>
        <v>12009616</v>
      </c>
      <c r="C1316" t="s">
        <v>1363</v>
      </c>
      <c r="D1316" t="s">
        <v>1401</v>
      </c>
      <c r="E1316" s="2"/>
      <c r="F1316" t="s">
        <v>107</v>
      </c>
      <c r="G1316" t="s">
        <v>1369</v>
      </c>
      <c r="H1316" t="s">
        <v>383</v>
      </c>
      <c r="I1316"/>
    </row>
    <row r="1317" spans="1:9">
      <c r="A1317" t="s">
        <v>1350</v>
      </c>
      <c r="B1317" s="1" t="str">
        <f>"12009617"</f>
        <v>12009617</v>
      </c>
      <c r="C1317" t="s">
        <v>1363</v>
      </c>
      <c r="D1317" t="s">
        <v>1402</v>
      </c>
      <c r="E1317" s="2"/>
      <c r="F1317" t="s">
        <v>1403</v>
      </c>
      <c r="G1317" t="s">
        <v>1369</v>
      </c>
      <c r="H1317" t="s">
        <v>383</v>
      </c>
      <c r="I1317"/>
    </row>
    <row r="1318" spans="1:9">
      <c r="A1318" t="s">
        <v>1350</v>
      </c>
      <c r="B1318" s="1" t="str">
        <f>"12519308"</f>
        <v>12519308</v>
      </c>
      <c r="C1318" t="s">
        <v>1363</v>
      </c>
      <c r="D1318" t="s">
        <v>1404</v>
      </c>
      <c r="E1318" s="2"/>
      <c r="F1318" t="s">
        <v>681</v>
      </c>
      <c r="G1318" t="s">
        <v>1369</v>
      </c>
      <c r="H1318" t="s">
        <v>383</v>
      </c>
      <c r="I1318"/>
    </row>
    <row r="1319" spans="1:9">
      <c r="A1319" t="s">
        <v>1350</v>
      </c>
      <c r="B1319" s="1" t="str">
        <f>"12096820"</f>
        <v>12096820</v>
      </c>
      <c r="C1319" t="s">
        <v>1363</v>
      </c>
      <c r="D1319" t="s">
        <v>1405</v>
      </c>
      <c r="E1319" s="2"/>
      <c r="F1319" t="s">
        <v>862</v>
      </c>
      <c r="G1319" t="s">
        <v>1369</v>
      </c>
      <c r="H1319" t="s">
        <v>383</v>
      </c>
      <c r="I1319"/>
    </row>
    <row r="1320" spans="1:9">
      <c r="A1320" t="s">
        <v>1350</v>
      </c>
      <c r="B1320" s="1" t="str">
        <f>"12519124"</f>
        <v>12519124</v>
      </c>
      <c r="C1320" t="s">
        <v>1363</v>
      </c>
      <c r="D1320" t="s">
        <v>1406</v>
      </c>
      <c r="E1320" s="2"/>
      <c r="F1320" t="s">
        <v>1383</v>
      </c>
      <c r="G1320" t="s">
        <v>1369</v>
      </c>
      <c r="H1320" t="s">
        <v>383</v>
      </c>
      <c r="I1320"/>
    </row>
    <row r="1321" spans="1:9">
      <c r="A1321" t="s">
        <v>1350</v>
      </c>
      <c r="B1321" s="1" t="str">
        <f>"12530825"</f>
        <v>12530825</v>
      </c>
      <c r="C1321" t="s">
        <v>1363</v>
      </c>
      <c r="D1321" t="s">
        <v>1407</v>
      </c>
      <c r="E1321" s="2"/>
      <c r="F1321" t="s">
        <v>1390</v>
      </c>
      <c r="G1321" t="s">
        <v>1369</v>
      </c>
      <c r="H1321" t="s">
        <v>383</v>
      </c>
      <c r="I1321"/>
    </row>
    <row r="1322" spans="1:9">
      <c r="A1322" t="s">
        <v>1350</v>
      </c>
      <c r="B1322" s="1" t="str">
        <f>"12661291"</f>
        <v>12661291</v>
      </c>
      <c r="C1322" t="s">
        <v>1363</v>
      </c>
      <c r="D1322" t="s">
        <v>1408</v>
      </c>
      <c r="E1322" s="2"/>
      <c r="F1322" t="s">
        <v>1148</v>
      </c>
      <c r="G1322" t="s">
        <v>1369</v>
      </c>
      <c r="H1322" t="s">
        <v>383</v>
      </c>
      <c r="I1322"/>
    </row>
    <row r="1323" spans="1:9">
      <c r="A1323" t="s">
        <v>1350</v>
      </c>
      <c r="B1323" s="1" t="str">
        <f>"12519100"</f>
        <v>12519100</v>
      </c>
      <c r="C1323" t="s">
        <v>1363</v>
      </c>
      <c r="D1323" t="s">
        <v>1409</v>
      </c>
      <c r="E1323" s="2"/>
      <c r="F1323" t="s">
        <v>56</v>
      </c>
      <c r="G1323" t="s">
        <v>1369</v>
      </c>
      <c r="H1323" t="s">
        <v>383</v>
      </c>
      <c r="I1323"/>
    </row>
    <row r="1324" spans="1:9">
      <c r="A1324" t="s">
        <v>1350</v>
      </c>
      <c r="B1324" s="1" t="str">
        <f>"12396298"</f>
        <v>12396298</v>
      </c>
      <c r="C1324" t="s">
        <v>1363</v>
      </c>
      <c r="D1324" t="s">
        <v>1410</v>
      </c>
      <c r="E1324" s="2"/>
      <c r="F1324" t="s">
        <v>56</v>
      </c>
      <c r="G1324" t="s">
        <v>1369</v>
      </c>
      <c r="H1324" t="s">
        <v>383</v>
      </c>
      <c r="I1324"/>
    </row>
    <row r="1325" spans="1:9">
      <c r="A1325" t="s">
        <v>1350</v>
      </c>
      <c r="B1325" s="1" t="str">
        <f>"12519317"</f>
        <v>12519317</v>
      </c>
      <c r="C1325" t="s">
        <v>1363</v>
      </c>
      <c r="D1325" t="s">
        <v>1411</v>
      </c>
      <c r="E1325" s="2"/>
      <c r="F1325" t="s">
        <v>1412</v>
      </c>
      <c r="G1325" t="s">
        <v>1369</v>
      </c>
      <c r="H1325" t="s">
        <v>383</v>
      </c>
      <c r="I1325"/>
    </row>
    <row r="1326" spans="1:9">
      <c r="A1326" t="s">
        <v>1350</v>
      </c>
      <c r="B1326" s="1" t="str">
        <f>"12519315"</f>
        <v>12519315</v>
      </c>
      <c r="C1326" t="s">
        <v>1363</v>
      </c>
      <c r="D1326" t="s">
        <v>1413</v>
      </c>
      <c r="E1326" s="2"/>
      <c r="F1326" t="s">
        <v>56</v>
      </c>
      <c r="G1326" t="s">
        <v>1369</v>
      </c>
      <c r="H1326" t="s">
        <v>383</v>
      </c>
      <c r="I1326"/>
    </row>
    <row r="1327" spans="1:9">
      <c r="A1327" t="s">
        <v>1350</v>
      </c>
      <c r="B1327" s="1" t="str">
        <f>"12519216"</f>
        <v>12519216</v>
      </c>
      <c r="C1327" t="s">
        <v>1363</v>
      </c>
      <c r="D1327" t="s">
        <v>1414</v>
      </c>
      <c r="E1327" s="2"/>
      <c r="F1327" t="s">
        <v>862</v>
      </c>
      <c r="G1327" t="s">
        <v>1369</v>
      </c>
      <c r="H1327" t="s">
        <v>383</v>
      </c>
      <c r="I1327"/>
    </row>
    <row r="1328" spans="1:9">
      <c r="A1328" t="s">
        <v>1350</v>
      </c>
      <c r="B1328" s="1" t="str">
        <f>"12519131"</f>
        <v>12519131</v>
      </c>
      <c r="C1328" t="s">
        <v>1363</v>
      </c>
      <c r="D1328" t="s">
        <v>1415</v>
      </c>
      <c r="E1328" s="2"/>
      <c r="F1328" t="s">
        <v>1390</v>
      </c>
      <c r="G1328" t="s">
        <v>1369</v>
      </c>
      <c r="H1328" t="s">
        <v>383</v>
      </c>
      <c r="I1328"/>
    </row>
    <row r="1329" spans="1:9">
      <c r="A1329" t="s">
        <v>1350</v>
      </c>
      <c r="B1329" s="1" t="str">
        <f>"12519322"</f>
        <v>12519322</v>
      </c>
      <c r="C1329" t="s">
        <v>1363</v>
      </c>
      <c r="D1329" t="s">
        <v>1416</v>
      </c>
      <c r="E1329" s="2"/>
      <c r="F1329" t="s">
        <v>56</v>
      </c>
      <c r="G1329" t="s">
        <v>1369</v>
      </c>
      <c r="H1329" t="s">
        <v>383</v>
      </c>
      <c r="I1329"/>
    </row>
    <row r="1330" spans="1:9">
      <c r="A1330" t="s">
        <v>1350</v>
      </c>
      <c r="B1330" s="1" t="str">
        <f>"12519278"</f>
        <v>12519278</v>
      </c>
      <c r="C1330" t="s">
        <v>1363</v>
      </c>
      <c r="D1330" t="s">
        <v>1417</v>
      </c>
      <c r="E1330" s="2"/>
      <c r="F1330" t="s">
        <v>56</v>
      </c>
      <c r="G1330" t="s">
        <v>1369</v>
      </c>
      <c r="H1330" t="s">
        <v>383</v>
      </c>
      <c r="I1330"/>
    </row>
    <row r="1331" spans="1:9">
      <c r="A1331" t="s">
        <v>1350</v>
      </c>
      <c r="B1331" s="1" t="str">
        <f>"12519337"</f>
        <v>12519337</v>
      </c>
      <c r="C1331" t="s">
        <v>1363</v>
      </c>
      <c r="D1331" t="s">
        <v>1418</v>
      </c>
      <c r="E1331" s="2"/>
      <c r="F1331" t="s">
        <v>267</v>
      </c>
      <c r="G1331" t="s">
        <v>1369</v>
      </c>
      <c r="H1331" t="s">
        <v>383</v>
      </c>
      <c r="I1331"/>
    </row>
    <row r="1332" spans="1:9">
      <c r="A1332" t="s">
        <v>1350</v>
      </c>
      <c r="B1332" s="1" t="str">
        <f>"12519339"</f>
        <v>12519339</v>
      </c>
      <c r="C1332" t="s">
        <v>1363</v>
      </c>
      <c r="D1332" t="s">
        <v>1419</v>
      </c>
      <c r="E1332" s="2"/>
      <c r="F1332" t="s">
        <v>267</v>
      </c>
      <c r="G1332" t="s">
        <v>1369</v>
      </c>
      <c r="H1332" t="s">
        <v>383</v>
      </c>
      <c r="I1332"/>
    </row>
    <row r="1333" spans="1:9">
      <c r="A1333" t="s">
        <v>1350</v>
      </c>
      <c r="B1333" s="1" t="str">
        <f>"12519346"</f>
        <v>12519346</v>
      </c>
      <c r="C1333" t="s">
        <v>1363</v>
      </c>
      <c r="D1333" t="s">
        <v>1420</v>
      </c>
      <c r="E1333" s="2"/>
      <c r="F1333" t="s">
        <v>1421</v>
      </c>
      <c r="G1333" t="s">
        <v>1369</v>
      </c>
      <c r="H1333" t="s">
        <v>383</v>
      </c>
      <c r="I1333"/>
    </row>
    <row r="1334" spans="1:9">
      <c r="A1334" t="s">
        <v>1350</v>
      </c>
      <c r="B1334" s="1" t="str">
        <f>"12009774"</f>
        <v>12009774</v>
      </c>
      <c r="C1334" t="s">
        <v>1363</v>
      </c>
      <c r="D1334" t="s">
        <v>1422</v>
      </c>
      <c r="E1334" s="2"/>
      <c r="F1334" t="s">
        <v>1383</v>
      </c>
      <c r="G1334" t="s">
        <v>1369</v>
      </c>
      <c r="H1334" t="s">
        <v>383</v>
      </c>
      <c r="I1334"/>
    </row>
    <row r="1335" spans="1:9">
      <c r="A1335" t="s">
        <v>1350</v>
      </c>
      <c r="B1335" s="1" t="str">
        <f>"12009618"</f>
        <v>12009618</v>
      </c>
      <c r="C1335" t="s">
        <v>1363</v>
      </c>
      <c r="D1335" t="s">
        <v>1423</v>
      </c>
      <c r="E1335" s="2"/>
      <c r="F1335" t="s">
        <v>33</v>
      </c>
      <c r="G1335" t="s">
        <v>1369</v>
      </c>
      <c r="H1335" t="s">
        <v>383</v>
      </c>
      <c r="I1335"/>
    </row>
    <row r="1336" spans="1:9">
      <c r="A1336" t="s">
        <v>1350</v>
      </c>
      <c r="B1336" s="1" t="str">
        <f>"12519148"</f>
        <v>12519148</v>
      </c>
      <c r="C1336" t="s">
        <v>1363</v>
      </c>
      <c r="D1336" t="s">
        <v>1424</v>
      </c>
      <c r="E1336" s="2"/>
      <c r="F1336" t="s">
        <v>1425</v>
      </c>
      <c r="G1336" t="s">
        <v>1369</v>
      </c>
      <c r="H1336" t="s">
        <v>383</v>
      </c>
      <c r="I1336"/>
    </row>
    <row r="1337" spans="1:9">
      <c r="A1337" t="s">
        <v>1350</v>
      </c>
      <c r="B1337" s="1" t="str">
        <f>"12556903"</f>
        <v>12556903</v>
      </c>
      <c r="C1337" t="s">
        <v>1363</v>
      </c>
      <c r="D1337" t="s">
        <v>1426</v>
      </c>
      <c r="E1337" s="2"/>
      <c r="F1337" t="s">
        <v>107</v>
      </c>
      <c r="G1337" t="s">
        <v>1369</v>
      </c>
      <c r="H1337" t="s">
        <v>383</v>
      </c>
      <c r="I1337"/>
    </row>
    <row r="1338" spans="1:9">
      <c r="A1338" t="s">
        <v>1350</v>
      </c>
      <c r="B1338" s="1" t="str">
        <f>"12112363"</f>
        <v>12112363</v>
      </c>
      <c r="C1338" t="s">
        <v>1363</v>
      </c>
      <c r="D1338" t="s">
        <v>1427</v>
      </c>
      <c r="E1338" s="2"/>
      <c r="F1338" t="s">
        <v>681</v>
      </c>
      <c r="G1338" t="s">
        <v>1369</v>
      </c>
      <c r="H1338" t="s">
        <v>383</v>
      </c>
      <c r="I1338"/>
    </row>
    <row r="1339" spans="1:9">
      <c r="A1339" t="s">
        <v>1350</v>
      </c>
      <c r="B1339" s="1" t="str">
        <f>"12519353"</f>
        <v>12519353</v>
      </c>
      <c r="C1339" t="s">
        <v>1363</v>
      </c>
      <c r="D1339" t="s">
        <v>1428</v>
      </c>
      <c r="E1339" s="2"/>
      <c r="F1339" t="s">
        <v>1148</v>
      </c>
      <c r="G1339" t="s">
        <v>1369</v>
      </c>
      <c r="H1339" t="s">
        <v>383</v>
      </c>
      <c r="I1339"/>
    </row>
    <row r="1340" spans="1:9">
      <c r="A1340" t="s">
        <v>1350</v>
      </c>
      <c r="B1340" s="1" t="str">
        <f>"12519155"</f>
        <v>12519155</v>
      </c>
      <c r="C1340" t="s">
        <v>1363</v>
      </c>
      <c r="D1340" t="s">
        <v>1429</v>
      </c>
      <c r="E1340" s="2"/>
      <c r="F1340" t="s">
        <v>1383</v>
      </c>
      <c r="G1340" t="s">
        <v>1369</v>
      </c>
      <c r="H1340" t="s">
        <v>383</v>
      </c>
      <c r="I1340"/>
    </row>
    <row r="1341" spans="1:9">
      <c r="A1341" t="s">
        <v>1350</v>
      </c>
      <c r="B1341" s="1" t="str">
        <f>"12519179"</f>
        <v>12519179</v>
      </c>
      <c r="C1341" t="s">
        <v>1363</v>
      </c>
      <c r="D1341" t="s">
        <v>1430</v>
      </c>
      <c r="E1341" s="2"/>
      <c r="F1341" t="s">
        <v>1425</v>
      </c>
      <c r="G1341" t="s">
        <v>1369</v>
      </c>
      <c r="H1341" t="s">
        <v>383</v>
      </c>
      <c r="I1341"/>
    </row>
    <row r="1342" spans="1:9">
      <c r="A1342" t="s">
        <v>1350</v>
      </c>
      <c r="B1342" s="1" t="str">
        <f>"12519157"</f>
        <v>12519157</v>
      </c>
      <c r="C1342" t="s">
        <v>1363</v>
      </c>
      <c r="D1342" t="s">
        <v>1431</v>
      </c>
      <c r="E1342" s="2"/>
      <c r="F1342" t="s">
        <v>107</v>
      </c>
      <c r="G1342" t="s">
        <v>1369</v>
      </c>
      <c r="H1342" t="s">
        <v>383</v>
      </c>
      <c r="I1342"/>
    </row>
    <row r="1343" spans="1:9">
      <c r="A1343" t="s">
        <v>1350</v>
      </c>
      <c r="B1343" s="1" t="str">
        <f>"12009667"</f>
        <v>12009667</v>
      </c>
      <c r="C1343" t="s">
        <v>1363</v>
      </c>
      <c r="D1343" t="s">
        <v>1432</v>
      </c>
      <c r="E1343" s="2"/>
      <c r="F1343" t="s">
        <v>267</v>
      </c>
      <c r="G1343" t="s">
        <v>1369</v>
      </c>
      <c r="H1343" t="s">
        <v>383</v>
      </c>
      <c r="I1343"/>
    </row>
    <row r="1344" spans="1:9">
      <c r="A1344" t="s">
        <v>1350</v>
      </c>
      <c r="B1344" s="1" t="str">
        <f>"12009668"</f>
        <v>12009668</v>
      </c>
      <c r="C1344" t="s">
        <v>1363</v>
      </c>
      <c r="D1344" t="s">
        <v>1433</v>
      </c>
      <c r="E1344" s="2"/>
      <c r="F1344" t="s">
        <v>1148</v>
      </c>
      <c r="G1344" t="s">
        <v>1369</v>
      </c>
      <c r="H1344" t="s">
        <v>383</v>
      </c>
      <c r="I1344"/>
    </row>
    <row r="1345" spans="1:9">
      <c r="A1345" t="s">
        <v>1350</v>
      </c>
      <c r="B1345" s="1" t="str">
        <f>"12182178"</f>
        <v>12182178</v>
      </c>
      <c r="C1345" t="s">
        <v>1363</v>
      </c>
      <c r="D1345" t="s">
        <v>1434</v>
      </c>
      <c r="E1345" s="2"/>
      <c r="F1345" t="s">
        <v>1383</v>
      </c>
      <c r="G1345" t="s">
        <v>695</v>
      </c>
      <c r="H1345" t="s">
        <v>517</v>
      </c>
      <c r="I1345"/>
    </row>
    <row r="1346" spans="1:9">
      <c r="A1346" t="s">
        <v>1350</v>
      </c>
      <c r="B1346" s="1" t="str">
        <f>"12012155"</f>
        <v>12012155</v>
      </c>
      <c r="C1346" t="s">
        <v>1363</v>
      </c>
      <c r="D1346" t="s">
        <v>1435</v>
      </c>
      <c r="E1346" s="2"/>
      <c r="F1346"/>
      <c r="G1346" t="s">
        <v>620</v>
      </c>
      <c r="H1346" t="s">
        <v>517</v>
      </c>
      <c r="I1346"/>
    </row>
    <row r="1347" spans="1:9">
      <c r="A1347" t="s">
        <v>1350</v>
      </c>
      <c r="B1347" s="1" t="str">
        <f>"20246655"</f>
        <v>20246655</v>
      </c>
      <c r="C1347" t="s">
        <v>1436</v>
      </c>
      <c r="D1347" t="s">
        <v>1437</v>
      </c>
      <c r="E1347" s="2"/>
      <c r="F1347"/>
      <c r="G1347" t="s">
        <v>610</v>
      </c>
      <c r="H1347" t="s">
        <v>610</v>
      </c>
      <c r="I1347"/>
    </row>
    <row r="1348" spans="1:9">
      <c r="A1348" t="s">
        <v>1350</v>
      </c>
      <c r="B1348" s="1" t="str">
        <f>"20246655.2"</f>
        <v>20246655.2</v>
      </c>
      <c r="C1348" t="s">
        <v>1436</v>
      </c>
      <c r="D1348" t="s">
        <v>1437</v>
      </c>
      <c r="E1348" s="2"/>
      <c r="F1348"/>
      <c r="G1348" t="s">
        <v>610</v>
      </c>
      <c r="H1348" t="s">
        <v>517</v>
      </c>
      <c r="I1348"/>
    </row>
    <row r="1349" spans="1:9">
      <c r="A1349" t="s">
        <v>1350</v>
      </c>
      <c r="B1349" s="1" t="str">
        <f>"12009635"</f>
        <v>12009635</v>
      </c>
      <c r="C1349" t="s">
        <v>1438</v>
      </c>
      <c r="D1349" t="s">
        <v>1439</v>
      </c>
      <c r="E1349" s="2"/>
      <c r="F1349" t="s">
        <v>52</v>
      </c>
      <c r="G1349" t="s">
        <v>517</v>
      </c>
      <c r="H1349" t="s">
        <v>517</v>
      </c>
      <c r="I1349"/>
    </row>
    <row r="1350" spans="1:9">
      <c r="A1350" t="s">
        <v>1350</v>
      </c>
      <c r="B1350" s="1" t="str">
        <f>"12009643"</f>
        <v>12009643</v>
      </c>
      <c r="C1350" t="s">
        <v>1438</v>
      </c>
      <c r="D1350" t="s">
        <v>1440</v>
      </c>
      <c r="E1350" s="2"/>
      <c r="F1350" t="s">
        <v>221</v>
      </c>
      <c r="G1350" t="s">
        <v>122</v>
      </c>
      <c r="H1350" t="s">
        <v>383</v>
      </c>
      <c r="I1350"/>
    </row>
    <row r="1351" spans="1:9">
      <c r="A1351" t="s">
        <v>1441</v>
      </c>
      <c r="B1351" s="1" t="str">
        <f>"20630645"</f>
        <v>20630645</v>
      </c>
      <c r="C1351" t="s">
        <v>1442</v>
      </c>
      <c r="D1351" t="s">
        <v>1443</v>
      </c>
      <c r="E1351" s="2"/>
      <c r="F1351" t="s">
        <v>1444</v>
      </c>
      <c r="G1351" t="s">
        <v>29</v>
      </c>
      <c r="H1351" t="s">
        <v>29</v>
      </c>
      <c r="I1351"/>
    </row>
    <row r="1352" spans="1:9">
      <c r="A1352" t="s">
        <v>1441</v>
      </c>
      <c r="B1352" s="1" t="str">
        <f>"20630645.2"</f>
        <v>20630645.2</v>
      </c>
      <c r="C1352" t="s">
        <v>1442</v>
      </c>
      <c r="D1352" t="s">
        <v>1443</v>
      </c>
      <c r="E1352" s="2"/>
      <c r="F1352" t="s">
        <v>1444</v>
      </c>
      <c r="G1352" t="s">
        <v>29</v>
      </c>
      <c r="H1352" t="s">
        <v>332</v>
      </c>
      <c r="I1352"/>
    </row>
    <row r="1353" spans="1:9">
      <c r="A1353" t="s">
        <v>1441</v>
      </c>
      <c r="B1353" s="1" t="str">
        <f>"20063795"</f>
        <v>20063795</v>
      </c>
      <c r="C1353" t="s">
        <v>1445</v>
      </c>
      <c r="D1353" t="s">
        <v>1446</v>
      </c>
      <c r="E1353" s="2"/>
      <c r="F1353" t="s">
        <v>66</v>
      </c>
      <c r="G1353" t="s">
        <v>120</v>
      </c>
      <c r="H1353" t="s">
        <v>120</v>
      </c>
      <c r="I1353"/>
    </row>
    <row r="1354" spans="1:9">
      <c r="A1354" t="s">
        <v>1441</v>
      </c>
      <c r="B1354" s="1" t="str">
        <f>"20063795.2"</f>
        <v>20063795.2</v>
      </c>
      <c r="C1354" t="s">
        <v>1445</v>
      </c>
      <c r="D1354" t="s">
        <v>1446</v>
      </c>
      <c r="E1354" s="2"/>
      <c r="F1354" t="s">
        <v>66</v>
      </c>
      <c r="G1354" t="s">
        <v>120</v>
      </c>
      <c r="H1354" t="s">
        <v>1088</v>
      </c>
      <c r="I1354"/>
    </row>
    <row r="1355" spans="1:9">
      <c r="A1355" t="s">
        <v>1441</v>
      </c>
      <c r="B1355" s="1" t="str">
        <f>"20150129"</f>
        <v>20150129</v>
      </c>
      <c r="C1355" t="s">
        <v>1445</v>
      </c>
      <c r="D1355" t="s">
        <v>1447</v>
      </c>
      <c r="E1355" s="2"/>
      <c r="F1355" t="s">
        <v>66</v>
      </c>
      <c r="G1355" t="s">
        <v>120</v>
      </c>
      <c r="H1355" t="s">
        <v>120</v>
      </c>
      <c r="I1355"/>
    </row>
    <row r="1356" spans="1:9">
      <c r="A1356" t="s">
        <v>1441</v>
      </c>
      <c r="B1356" s="1" t="str">
        <f>"20150129.2"</f>
        <v>20150129.2</v>
      </c>
      <c r="C1356" t="s">
        <v>1445</v>
      </c>
      <c r="D1356" t="s">
        <v>1447</v>
      </c>
      <c r="E1356" s="2"/>
      <c r="F1356" t="s">
        <v>66</v>
      </c>
      <c r="G1356" t="s">
        <v>120</v>
      </c>
      <c r="H1356" t="s">
        <v>1088</v>
      </c>
      <c r="I1356"/>
    </row>
    <row r="1357" spans="1:9">
      <c r="A1357" t="s">
        <v>1441</v>
      </c>
      <c r="B1357" s="1" t="str">
        <f>"20094355"</f>
        <v>20094355</v>
      </c>
      <c r="C1357" t="s">
        <v>393</v>
      </c>
      <c r="D1357" t="s">
        <v>1448</v>
      </c>
      <c r="E1357" s="2"/>
      <c r="F1357" t="s">
        <v>22</v>
      </c>
      <c r="G1357" t="s">
        <v>37</v>
      </c>
      <c r="H1357" t="s">
        <v>37</v>
      </c>
      <c r="I1357"/>
    </row>
    <row r="1358" spans="1:9">
      <c r="A1358" t="s">
        <v>1441</v>
      </c>
      <c r="B1358" s="1" t="str">
        <f>"20094355.2"</f>
        <v>20094355.2</v>
      </c>
      <c r="C1358" t="s">
        <v>393</v>
      </c>
      <c r="D1358" t="s">
        <v>1448</v>
      </c>
      <c r="E1358" s="2"/>
      <c r="F1358" t="s">
        <v>22</v>
      </c>
      <c r="G1358" t="s">
        <v>37</v>
      </c>
      <c r="H1358" t="s">
        <v>1088</v>
      </c>
      <c r="I1358"/>
    </row>
    <row r="1359" spans="1:9">
      <c r="A1359" t="s">
        <v>1449</v>
      </c>
      <c r="B1359" s="1" t="str">
        <f>"22280643"</f>
        <v>22280643</v>
      </c>
      <c r="C1359" t="s">
        <v>225</v>
      </c>
      <c r="D1359" t="s">
        <v>1450</v>
      </c>
      <c r="E1359" s="2"/>
      <c r="F1359" t="s">
        <v>246</v>
      </c>
      <c r="G1359" t="s">
        <v>120</v>
      </c>
      <c r="H1359" t="s">
        <v>120</v>
      </c>
      <c r="I1359"/>
    </row>
    <row r="1360" spans="1:9">
      <c r="A1360" t="s">
        <v>1449</v>
      </c>
      <c r="B1360" s="1" t="str">
        <f>"20170189"</f>
        <v>20170189</v>
      </c>
      <c r="C1360" t="s">
        <v>1451</v>
      </c>
      <c r="D1360" t="s">
        <v>1452</v>
      </c>
      <c r="E1360" s="2"/>
      <c r="F1360" t="s">
        <v>246</v>
      </c>
      <c r="G1360" t="s">
        <v>189</v>
      </c>
      <c r="H1360" t="s">
        <v>189</v>
      </c>
      <c r="I1360"/>
    </row>
    <row r="1361" spans="1:9">
      <c r="A1361" t="s">
        <v>1449</v>
      </c>
      <c r="B1361" s="1" t="str">
        <f>"20170189.2"</f>
        <v>20170189.2</v>
      </c>
      <c r="C1361" t="s">
        <v>1451</v>
      </c>
      <c r="D1361" t="s">
        <v>1452</v>
      </c>
      <c r="E1361" s="2"/>
      <c r="F1361" t="s">
        <v>246</v>
      </c>
      <c r="G1361" t="s">
        <v>189</v>
      </c>
      <c r="H1361" t="s">
        <v>1453</v>
      </c>
      <c r="I1361"/>
    </row>
    <row r="1362" spans="1:9">
      <c r="A1362" t="s">
        <v>1449</v>
      </c>
      <c r="B1362" s="1" t="str">
        <f>"22280642"</f>
        <v>22280642</v>
      </c>
      <c r="C1362" t="s">
        <v>1451</v>
      </c>
      <c r="D1362" t="s">
        <v>1450</v>
      </c>
      <c r="E1362" s="2"/>
      <c r="F1362" t="s">
        <v>959</v>
      </c>
      <c r="G1362" t="s">
        <v>120</v>
      </c>
      <c r="H1362" t="s">
        <v>120</v>
      </c>
      <c r="I1362"/>
    </row>
    <row r="1363" spans="1:9">
      <c r="A1363" t="s">
        <v>1449</v>
      </c>
      <c r="B1363" s="1" t="str">
        <f>"22280642.2"</f>
        <v>22280642.2</v>
      </c>
      <c r="C1363" t="s">
        <v>1451</v>
      </c>
      <c r="D1363" t="s">
        <v>1450</v>
      </c>
      <c r="E1363" s="2"/>
      <c r="F1363" t="s">
        <v>959</v>
      </c>
      <c r="G1363" t="s">
        <v>120</v>
      </c>
      <c r="H1363" t="s">
        <v>1088</v>
      </c>
      <c r="I1363"/>
    </row>
    <row r="1364" spans="1:9">
      <c r="A1364" t="s">
        <v>1449</v>
      </c>
      <c r="B1364" s="1" t="str">
        <f>"23207114"</f>
        <v>23207114</v>
      </c>
      <c r="C1364" t="s">
        <v>1451</v>
      </c>
      <c r="D1364" t="s">
        <v>1450</v>
      </c>
      <c r="E1364" s="2"/>
      <c r="F1364" t="s">
        <v>636</v>
      </c>
      <c r="G1364" t="s">
        <v>120</v>
      </c>
      <c r="H1364" t="s">
        <v>38</v>
      </c>
      <c r="I1364"/>
    </row>
    <row r="1365" spans="1:9">
      <c r="A1365" t="s">
        <v>1449</v>
      </c>
      <c r="B1365" s="1" t="str">
        <f>"23207114.2"</f>
        <v>23207114.2</v>
      </c>
      <c r="C1365" t="s">
        <v>1451</v>
      </c>
      <c r="D1365" t="s">
        <v>1450</v>
      </c>
      <c r="E1365" s="2"/>
      <c r="F1365" t="s">
        <v>636</v>
      </c>
      <c r="G1365" t="s">
        <v>189</v>
      </c>
      <c r="H1365" t="s">
        <v>1453</v>
      </c>
      <c r="I1365"/>
    </row>
    <row r="1366" spans="1:9">
      <c r="A1366" t="s">
        <v>1449</v>
      </c>
      <c r="B1366" s="1" t="str">
        <f>"12286119"</f>
        <v>12286119</v>
      </c>
      <c r="C1366" t="s">
        <v>1451</v>
      </c>
      <c r="D1366" t="s">
        <v>1454</v>
      </c>
      <c r="E1366" s="2"/>
      <c r="F1366" t="s">
        <v>1353</v>
      </c>
      <c r="G1366" t="s">
        <v>37</v>
      </c>
      <c r="H1366" t="s">
        <v>1088</v>
      </c>
      <c r="I1366"/>
    </row>
    <row r="1367" spans="1:9">
      <c r="A1367" t="s">
        <v>1449</v>
      </c>
      <c r="B1367" s="1" t="str">
        <f>"20023560"</f>
        <v>20023560</v>
      </c>
      <c r="C1367" t="s">
        <v>393</v>
      </c>
      <c r="D1367" t="s">
        <v>1455</v>
      </c>
      <c r="E1367" s="2"/>
      <c r="F1367" t="s">
        <v>636</v>
      </c>
      <c r="G1367" t="s">
        <v>1456</v>
      </c>
      <c r="H1367" t="s">
        <v>1456</v>
      </c>
      <c r="I1367"/>
    </row>
    <row r="1368" spans="1:9">
      <c r="A1368" t="s">
        <v>1449</v>
      </c>
      <c r="B1368" s="1" t="str">
        <f>"20023560.2"</f>
        <v>20023560.2</v>
      </c>
      <c r="C1368" t="s">
        <v>393</v>
      </c>
      <c r="D1368" t="s">
        <v>1455</v>
      </c>
      <c r="E1368" s="2"/>
      <c r="F1368" t="s">
        <v>636</v>
      </c>
      <c r="G1368" t="s">
        <v>1456</v>
      </c>
      <c r="H1368" t="s">
        <v>1453</v>
      </c>
      <c r="I1368"/>
    </row>
    <row r="1369" spans="1:9">
      <c r="A1369" t="s">
        <v>1457</v>
      </c>
      <c r="B1369" s="1" t="str">
        <f>"12002870"</f>
        <v>12002870</v>
      </c>
      <c r="C1369" t="s">
        <v>260</v>
      </c>
      <c r="D1369" t="s">
        <v>1458</v>
      </c>
      <c r="E1369" s="2"/>
      <c r="F1369" t="s">
        <v>1459</v>
      </c>
      <c r="G1369" t="s">
        <v>122</v>
      </c>
      <c r="H1369" t="s">
        <v>383</v>
      </c>
      <c r="I1369"/>
    </row>
    <row r="1370" spans="1:9">
      <c r="A1370" t="s">
        <v>1457</v>
      </c>
      <c r="B1370" s="1" t="str">
        <f>"20172174"</f>
        <v>20172174</v>
      </c>
      <c r="C1370" t="s">
        <v>260</v>
      </c>
      <c r="D1370" t="s">
        <v>1460</v>
      </c>
      <c r="E1370" s="2"/>
      <c r="F1370" t="s">
        <v>1461</v>
      </c>
      <c r="G1370" t="s">
        <v>370</v>
      </c>
      <c r="H1370" t="s">
        <v>25</v>
      </c>
      <c r="I1370"/>
    </row>
    <row r="1371" spans="1:9">
      <c r="A1371" t="s">
        <v>1457</v>
      </c>
      <c r="B1371" s="1" t="str">
        <f>"20956601"</f>
        <v>20956601</v>
      </c>
      <c r="C1371" t="s">
        <v>260</v>
      </c>
      <c r="D1371" t="s">
        <v>1462</v>
      </c>
      <c r="E1371" s="2"/>
      <c r="F1371" t="s">
        <v>206</v>
      </c>
      <c r="G1371" t="s">
        <v>1463</v>
      </c>
      <c r="H1371" t="s">
        <v>1463</v>
      </c>
      <c r="I1371"/>
    </row>
    <row r="1372" spans="1:9">
      <c r="A1372" t="s">
        <v>1457</v>
      </c>
      <c r="B1372" s="1" t="str">
        <f>"20956601.2"</f>
        <v>20956601.2</v>
      </c>
      <c r="C1372" t="s">
        <v>260</v>
      </c>
      <c r="D1372" t="s">
        <v>1462</v>
      </c>
      <c r="E1372" s="2"/>
      <c r="F1372" t="s">
        <v>206</v>
      </c>
      <c r="G1372" t="s">
        <v>1463</v>
      </c>
      <c r="H1372" t="s">
        <v>332</v>
      </c>
      <c r="I1372"/>
    </row>
    <row r="1373" spans="1:9">
      <c r="A1373" t="s">
        <v>1457</v>
      </c>
      <c r="B1373" s="1" t="str">
        <f>"20170202"</f>
        <v>20170202</v>
      </c>
      <c r="C1373" t="s">
        <v>1464</v>
      </c>
      <c r="D1373" t="s">
        <v>1465</v>
      </c>
      <c r="E1373" s="2"/>
      <c r="F1373" t="s">
        <v>1466</v>
      </c>
      <c r="G1373" t="s">
        <v>29</v>
      </c>
      <c r="H1373" t="s">
        <v>29</v>
      </c>
      <c r="I1373"/>
    </row>
    <row r="1374" spans="1:9">
      <c r="A1374" t="s">
        <v>1457</v>
      </c>
      <c r="B1374" s="1" t="str">
        <f>"20170202.2"</f>
        <v>20170202.2</v>
      </c>
      <c r="C1374" t="s">
        <v>1464</v>
      </c>
      <c r="D1374" t="s">
        <v>1465</v>
      </c>
      <c r="E1374" s="2"/>
      <c r="F1374" t="s">
        <v>1466</v>
      </c>
      <c r="G1374" t="s">
        <v>29</v>
      </c>
      <c r="H1374" t="s">
        <v>332</v>
      </c>
      <c r="I1374"/>
    </row>
    <row r="1375" spans="1:9">
      <c r="A1375" t="s">
        <v>1457</v>
      </c>
      <c r="B1375" s="1" t="str">
        <f>"20469371"</f>
        <v>20469371</v>
      </c>
      <c r="C1375" t="s">
        <v>1467</v>
      </c>
      <c r="D1375" t="s">
        <v>1468</v>
      </c>
      <c r="E1375" s="2"/>
      <c r="F1375" t="s">
        <v>246</v>
      </c>
      <c r="G1375" t="s">
        <v>120</v>
      </c>
      <c r="H1375" t="s">
        <v>120</v>
      </c>
      <c r="I1375"/>
    </row>
    <row r="1376" spans="1:9">
      <c r="A1376" t="s">
        <v>1457</v>
      </c>
      <c r="B1376" s="1" t="str">
        <f>"20475543"</f>
        <v>20475543</v>
      </c>
      <c r="C1376" t="s">
        <v>1467</v>
      </c>
      <c r="D1376" t="s">
        <v>1469</v>
      </c>
      <c r="E1376" s="2"/>
      <c r="F1376" t="s">
        <v>246</v>
      </c>
      <c r="G1376" t="s">
        <v>120</v>
      </c>
      <c r="H1376" t="s">
        <v>120</v>
      </c>
      <c r="I1376"/>
    </row>
    <row r="1377" spans="1:9">
      <c r="A1377" t="s">
        <v>1457</v>
      </c>
      <c r="B1377" s="1" t="str">
        <f>"22797553"</f>
        <v>22797553</v>
      </c>
      <c r="C1377" t="s">
        <v>1467</v>
      </c>
      <c r="D1377" t="s">
        <v>1470</v>
      </c>
      <c r="E1377" s="2"/>
      <c r="F1377" t="s">
        <v>246</v>
      </c>
      <c r="G1377" t="s">
        <v>120</v>
      </c>
      <c r="H1377" t="s">
        <v>120</v>
      </c>
      <c r="I1377"/>
    </row>
    <row r="1378" spans="1:9">
      <c r="A1378" t="s">
        <v>1457</v>
      </c>
      <c r="B1378" s="1" t="str">
        <f>"20190293"</f>
        <v>20190293</v>
      </c>
      <c r="C1378" t="s">
        <v>1467</v>
      </c>
      <c r="D1378" t="s">
        <v>1471</v>
      </c>
      <c r="E1378" s="2"/>
      <c r="F1378" t="s">
        <v>129</v>
      </c>
      <c r="G1378" t="s">
        <v>37</v>
      </c>
      <c r="H1378" t="s">
        <v>37</v>
      </c>
      <c r="I1378"/>
    </row>
    <row r="1379" spans="1:9">
      <c r="A1379" t="s">
        <v>1457</v>
      </c>
      <c r="B1379" s="1" t="str">
        <f>"20190316"</f>
        <v>20190316</v>
      </c>
      <c r="C1379" t="s">
        <v>1467</v>
      </c>
      <c r="D1379" t="s">
        <v>1472</v>
      </c>
      <c r="E1379" s="2"/>
      <c r="F1379" t="s">
        <v>129</v>
      </c>
      <c r="G1379" t="s">
        <v>37</v>
      </c>
      <c r="H1379" t="s">
        <v>37</v>
      </c>
      <c r="I1379"/>
    </row>
    <row r="1380" spans="1:9">
      <c r="A1380" t="s">
        <v>1457</v>
      </c>
      <c r="B1380" s="1" t="str">
        <f>"20190361"</f>
        <v>20190361</v>
      </c>
      <c r="C1380" t="s">
        <v>1467</v>
      </c>
      <c r="D1380" t="s">
        <v>1473</v>
      </c>
      <c r="E1380" s="2"/>
      <c r="F1380" t="s">
        <v>129</v>
      </c>
      <c r="G1380" t="s">
        <v>37</v>
      </c>
      <c r="H1380" t="s">
        <v>37</v>
      </c>
      <c r="I1380"/>
    </row>
    <row r="1381" spans="1:9">
      <c r="A1381" t="s">
        <v>1457</v>
      </c>
      <c r="B1381" s="1" t="str">
        <f>"20787086"</f>
        <v>20787086</v>
      </c>
      <c r="C1381" t="s">
        <v>1467</v>
      </c>
      <c r="D1381" t="s">
        <v>1474</v>
      </c>
      <c r="E1381" s="2"/>
      <c r="F1381" t="s">
        <v>105</v>
      </c>
      <c r="G1381" t="s">
        <v>37</v>
      </c>
      <c r="H1381" t="s">
        <v>37</v>
      </c>
      <c r="I1381"/>
    </row>
    <row r="1382" spans="1:9">
      <c r="A1382" t="s">
        <v>1457</v>
      </c>
      <c r="B1382" s="1" t="str">
        <f>"20091225"</f>
        <v>20091225</v>
      </c>
      <c r="C1382" t="s">
        <v>1475</v>
      </c>
      <c r="D1382" t="s">
        <v>1476</v>
      </c>
      <c r="E1382" s="2"/>
      <c r="F1382" t="s">
        <v>1477</v>
      </c>
      <c r="G1382" t="s">
        <v>1144</v>
      </c>
      <c r="H1382" t="s">
        <v>37</v>
      </c>
      <c r="I1382"/>
    </row>
    <row r="1383" spans="1:9">
      <c r="A1383" t="s">
        <v>1457</v>
      </c>
      <c r="B1383" s="1" t="str">
        <f>"24230124"</f>
        <v>24230124</v>
      </c>
      <c r="C1383" t="s">
        <v>1478</v>
      </c>
      <c r="D1383" t="s">
        <v>1479</v>
      </c>
      <c r="E1383" s="2"/>
      <c r="F1383" t="s">
        <v>68</v>
      </c>
      <c r="G1383" t="s">
        <v>120</v>
      </c>
      <c r="H1383" t="s">
        <v>120</v>
      </c>
      <c r="I1383"/>
    </row>
    <row r="1384" spans="1:9">
      <c r="A1384" t="s">
        <v>1457</v>
      </c>
      <c r="B1384" s="1" t="str">
        <f>"24230124.2"</f>
        <v>24230124.2</v>
      </c>
      <c r="C1384" t="s">
        <v>1478</v>
      </c>
      <c r="D1384" t="s">
        <v>1479</v>
      </c>
      <c r="E1384" s="2"/>
      <c r="F1384" t="s">
        <v>68</v>
      </c>
      <c r="G1384" t="s">
        <v>120</v>
      </c>
      <c r="H1384" t="s">
        <v>1088</v>
      </c>
      <c r="I1384"/>
    </row>
    <row r="1385" spans="1:9">
      <c r="A1385" t="s">
        <v>1457</v>
      </c>
      <c r="B1385" s="1" t="str">
        <f>"24336039"</f>
        <v>24336039</v>
      </c>
      <c r="C1385" t="s">
        <v>1480</v>
      </c>
      <c r="D1385" t="s">
        <v>1481</v>
      </c>
      <c r="E1385" s="2"/>
      <c r="F1385" t="s">
        <v>27</v>
      </c>
      <c r="G1385" t="s">
        <v>38</v>
      </c>
      <c r="H1385" t="s">
        <v>38</v>
      </c>
      <c r="I1385"/>
    </row>
    <row r="1386" spans="1:9">
      <c r="A1386" t="s">
        <v>1457</v>
      </c>
      <c r="B1386" s="1" t="str">
        <f>"24336039.2"</f>
        <v>24336039.2</v>
      </c>
      <c r="C1386" t="s">
        <v>1480</v>
      </c>
      <c r="D1386" t="s">
        <v>1481</v>
      </c>
      <c r="E1386" s="2"/>
      <c r="F1386" t="s">
        <v>27</v>
      </c>
      <c r="G1386" t="s">
        <v>38</v>
      </c>
      <c r="H1386" t="s">
        <v>1088</v>
      </c>
      <c r="I1386"/>
    </row>
    <row r="1387" spans="1:9">
      <c r="A1387" t="s">
        <v>1457</v>
      </c>
      <c r="B1387" s="1" t="str">
        <f>"20018648"</f>
        <v>20018648</v>
      </c>
      <c r="C1387" t="s">
        <v>209</v>
      </c>
      <c r="D1387" t="s">
        <v>1482</v>
      </c>
      <c r="E1387" s="2"/>
      <c r="F1387" t="s">
        <v>206</v>
      </c>
      <c r="G1387" t="s">
        <v>29</v>
      </c>
      <c r="H1387" t="s">
        <v>29</v>
      </c>
      <c r="I1387"/>
    </row>
    <row r="1388" spans="1:9">
      <c r="A1388" t="s">
        <v>1457</v>
      </c>
      <c r="B1388" s="1" t="str">
        <f>"20209641"</f>
        <v>20209641</v>
      </c>
      <c r="C1388" t="s">
        <v>225</v>
      </c>
      <c r="D1388" t="s">
        <v>1158</v>
      </c>
      <c r="E1388" s="2"/>
      <c r="F1388" t="s">
        <v>1461</v>
      </c>
      <c r="G1388" t="s">
        <v>25</v>
      </c>
      <c r="H1388" t="s">
        <v>25</v>
      </c>
      <c r="I1388"/>
    </row>
    <row r="1389" spans="1:9">
      <c r="A1389" t="s">
        <v>1457</v>
      </c>
      <c r="B1389" s="1" t="str">
        <f>"20016844"</f>
        <v>20016844</v>
      </c>
      <c r="C1389" t="s">
        <v>225</v>
      </c>
      <c r="D1389" t="s">
        <v>1483</v>
      </c>
      <c r="E1389" s="2"/>
      <c r="F1389" t="s">
        <v>66</v>
      </c>
      <c r="G1389" t="s">
        <v>25</v>
      </c>
      <c r="H1389" t="s">
        <v>25</v>
      </c>
      <c r="I1389"/>
    </row>
    <row r="1390" spans="1:9">
      <c r="A1390" t="s">
        <v>1457</v>
      </c>
      <c r="B1390" s="1" t="str">
        <f>"20016845"</f>
        <v>20016845</v>
      </c>
      <c r="C1390" t="s">
        <v>225</v>
      </c>
      <c r="D1390" t="s">
        <v>1484</v>
      </c>
      <c r="E1390" s="2"/>
      <c r="F1390" t="s">
        <v>66</v>
      </c>
      <c r="G1390" t="s">
        <v>25</v>
      </c>
      <c r="H1390" t="s">
        <v>25</v>
      </c>
      <c r="I1390"/>
    </row>
    <row r="1391" spans="1:9">
      <c r="A1391" t="s">
        <v>1457</v>
      </c>
      <c r="B1391" s="1" t="str">
        <f>"20209640"</f>
        <v>20209640</v>
      </c>
      <c r="C1391" t="s">
        <v>225</v>
      </c>
      <c r="D1391" t="s">
        <v>1485</v>
      </c>
      <c r="E1391" s="2"/>
      <c r="F1391" t="s">
        <v>1461</v>
      </c>
      <c r="G1391" t="s">
        <v>25</v>
      </c>
      <c r="H1391" t="s">
        <v>25</v>
      </c>
      <c r="I1391"/>
    </row>
    <row r="1392" spans="1:9">
      <c r="A1392" t="s">
        <v>1457</v>
      </c>
      <c r="B1392" s="1" t="str">
        <f>"24312811"</f>
        <v>24312811</v>
      </c>
      <c r="C1392" t="s">
        <v>225</v>
      </c>
      <c r="D1392" t="s">
        <v>128</v>
      </c>
      <c r="E1392" s="2"/>
      <c r="F1392" t="s">
        <v>129</v>
      </c>
      <c r="G1392" t="s">
        <v>156</v>
      </c>
      <c r="H1392" t="s">
        <v>156</v>
      </c>
      <c r="I1392"/>
    </row>
    <row r="1393" spans="1:9">
      <c r="A1393" t="s">
        <v>1457</v>
      </c>
      <c r="B1393" s="1" t="str">
        <f>"20016846"</f>
        <v>20016846</v>
      </c>
      <c r="C1393" t="s">
        <v>225</v>
      </c>
      <c r="D1393" t="s">
        <v>1486</v>
      </c>
      <c r="E1393" s="2"/>
      <c r="F1393" t="s">
        <v>66</v>
      </c>
      <c r="G1393" t="s">
        <v>25</v>
      </c>
      <c r="H1393" t="s">
        <v>25</v>
      </c>
      <c r="I1393"/>
    </row>
    <row r="1394" spans="1:9">
      <c r="A1394" t="s">
        <v>1457</v>
      </c>
      <c r="B1394" s="1" t="str">
        <f>"20834784"</f>
        <v>20834784</v>
      </c>
      <c r="C1394" t="s">
        <v>225</v>
      </c>
      <c r="D1394" t="s">
        <v>1487</v>
      </c>
      <c r="E1394" s="2"/>
      <c r="F1394" t="s">
        <v>129</v>
      </c>
      <c r="G1394" t="s">
        <v>1034</v>
      </c>
      <c r="H1394" t="s">
        <v>1034</v>
      </c>
      <c r="I1394"/>
    </row>
    <row r="1395" spans="1:9">
      <c r="A1395" t="s">
        <v>1457</v>
      </c>
      <c r="B1395" s="1" t="str">
        <f>"20058814"</f>
        <v>20058814</v>
      </c>
      <c r="C1395" t="s">
        <v>225</v>
      </c>
      <c r="D1395" t="s">
        <v>1488</v>
      </c>
      <c r="E1395" s="2"/>
      <c r="F1395" t="s">
        <v>129</v>
      </c>
      <c r="G1395" t="s">
        <v>1034</v>
      </c>
      <c r="H1395" t="s">
        <v>1034</v>
      </c>
      <c r="I1395"/>
    </row>
    <row r="1396" spans="1:9">
      <c r="A1396" t="s">
        <v>1457</v>
      </c>
      <c r="B1396" s="1" t="str">
        <f>"22096281"</f>
        <v>22096281</v>
      </c>
      <c r="C1396" t="s">
        <v>225</v>
      </c>
      <c r="D1396" t="s">
        <v>1489</v>
      </c>
      <c r="E1396" s="2"/>
      <c r="F1396" t="s">
        <v>1461</v>
      </c>
      <c r="G1396" t="s">
        <v>25</v>
      </c>
      <c r="H1396" t="s">
        <v>25</v>
      </c>
      <c r="I1396"/>
    </row>
    <row r="1397" spans="1:9">
      <c r="A1397" t="s">
        <v>1457</v>
      </c>
      <c r="B1397" s="1" t="str">
        <f>"22096656"</f>
        <v>22096656</v>
      </c>
      <c r="C1397" t="s">
        <v>225</v>
      </c>
      <c r="D1397" t="s">
        <v>1490</v>
      </c>
      <c r="E1397" s="2"/>
      <c r="F1397" t="s">
        <v>1461</v>
      </c>
      <c r="G1397" t="s">
        <v>25</v>
      </c>
      <c r="H1397" t="s">
        <v>25</v>
      </c>
      <c r="I1397"/>
    </row>
    <row r="1398" spans="1:9">
      <c r="A1398" t="s">
        <v>1457</v>
      </c>
      <c r="B1398" s="1" t="str">
        <f>"20209642"</f>
        <v>20209642</v>
      </c>
      <c r="C1398" t="s">
        <v>225</v>
      </c>
      <c r="D1398" t="s">
        <v>1491</v>
      </c>
      <c r="E1398" s="2"/>
      <c r="F1398" t="s">
        <v>1461</v>
      </c>
      <c r="G1398" t="s">
        <v>25</v>
      </c>
      <c r="H1398" t="s">
        <v>25</v>
      </c>
      <c r="I1398"/>
    </row>
    <row r="1399" spans="1:9">
      <c r="A1399" t="s">
        <v>1457</v>
      </c>
      <c r="B1399" s="1" t="str">
        <f>"20146860"</f>
        <v>20146860</v>
      </c>
      <c r="C1399" t="s">
        <v>225</v>
      </c>
      <c r="D1399" t="s">
        <v>1492</v>
      </c>
      <c r="E1399" s="2"/>
      <c r="F1399" t="s">
        <v>206</v>
      </c>
      <c r="G1399" t="s">
        <v>1456</v>
      </c>
      <c r="H1399" t="s">
        <v>1456</v>
      </c>
      <c r="I1399"/>
    </row>
    <row r="1400" spans="1:9">
      <c r="A1400" t="s">
        <v>1457</v>
      </c>
      <c r="B1400" s="1" t="str">
        <f>"20746761"</f>
        <v>20746761</v>
      </c>
      <c r="C1400" t="s">
        <v>225</v>
      </c>
      <c r="D1400" t="s">
        <v>1493</v>
      </c>
      <c r="E1400" s="2"/>
      <c r="F1400" t="s">
        <v>27</v>
      </c>
      <c r="G1400" t="s">
        <v>1494</v>
      </c>
      <c r="H1400" t="s">
        <v>1494</v>
      </c>
      <c r="I1400"/>
    </row>
    <row r="1401" spans="1:9">
      <c r="A1401" t="s">
        <v>1457</v>
      </c>
      <c r="B1401" s="1" t="str">
        <f>"20170158"</f>
        <v>20170158</v>
      </c>
      <c r="C1401" t="s">
        <v>1495</v>
      </c>
      <c r="D1401" t="s">
        <v>1496</v>
      </c>
      <c r="E1401" s="2"/>
      <c r="F1401" t="s">
        <v>131</v>
      </c>
      <c r="G1401" t="s">
        <v>370</v>
      </c>
      <c r="H1401" t="s">
        <v>370</v>
      </c>
      <c r="I1401"/>
    </row>
    <row r="1402" spans="1:9">
      <c r="A1402" t="s">
        <v>1457</v>
      </c>
      <c r="B1402" s="1" t="str">
        <f>"20170158.2"</f>
        <v>20170158.2</v>
      </c>
      <c r="C1402" t="s">
        <v>1495</v>
      </c>
      <c r="D1402" t="s">
        <v>1496</v>
      </c>
      <c r="E1402" s="2"/>
      <c r="F1402" t="s">
        <v>131</v>
      </c>
      <c r="G1402" t="s">
        <v>370</v>
      </c>
      <c r="H1402" t="s">
        <v>332</v>
      </c>
      <c r="I1402"/>
    </row>
    <row r="1403" spans="1:9">
      <c r="A1403" t="s">
        <v>1457</v>
      </c>
      <c r="B1403" s="1" t="str">
        <f>"20043247"</f>
        <v>20043247</v>
      </c>
      <c r="C1403" t="s">
        <v>341</v>
      </c>
      <c r="D1403" t="s">
        <v>1497</v>
      </c>
      <c r="E1403" s="2"/>
      <c r="F1403" t="s">
        <v>68</v>
      </c>
      <c r="G1403" t="s">
        <v>1456</v>
      </c>
      <c r="H1403" t="s">
        <v>1456</v>
      </c>
      <c r="I1403"/>
    </row>
    <row r="1404" spans="1:9">
      <c r="A1404" t="s">
        <v>1457</v>
      </c>
      <c r="B1404" s="1" t="str">
        <f>"20043247.2"</f>
        <v>20043247.2</v>
      </c>
      <c r="C1404" t="s">
        <v>341</v>
      </c>
      <c r="D1404" t="s">
        <v>1497</v>
      </c>
      <c r="E1404" s="2"/>
      <c r="F1404" t="s">
        <v>68</v>
      </c>
      <c r="G1404" t="s">
        <v>1456</v>
      </c>
      <c r="H1404" t="s">
        <v>1453</v>
      </c>
      <c r="I1404"/>
    </row>
    <row r="1405" spans="1:9">
      <c r="A1405" t="s">
        <v>1457</v>
      </c>
      <c r="B1405" s="1" t="str">
        <f>"20066246"</f>
        <v>20066246</v>
      </c>
      <c r="C1405" t="s">
        <v>1498</v>
      </c>
      <c r="D1405" t="s">
        <v>205</v>
      </c>
      <c r="E1405" s="2"/>
      <c r="F1405" t="s">
        <v>206</v>
      </c>
      <c r="G1405" t="s">
        <v>29</v>
      </c>
      <c r="H1405" t="s">
        <v>29</v>
      </c>
      <c r="I1405"/>
    </row>
    <row r="1406" spans="1:9">
      <c r="A1406" t="s">
        <v>1457</v>
      </c>
      <c r="B1406" s="1" t="str">
        <f>"20066246.2"</f>
        <v>20066246.2</v>
      </c>
      <c r="C1406" t="s">
        <v>1498</v>
      </c>
      <c r="D1406" t="s">
        <v>205</v>
      </c>
      <c r="E1406" s="2"/>
      <c r="F1406" t="s">
        <v>206</v>
      </c>
      <c r="G1406" t="s">
        <v>29</v>
      </c>
      <c r="H1406" t="s">
        <v>332</v>
      </c>
      <c r="I1406"/>
    </row>
    <row r="1407" spans="1:9">
      <c r="A1407" t="s">
        <v>1457</v>
      </c>
      <c r="B1407" s="1" t="str">
        <f>"20082765"</f>
        <v>20082765</v>
      </c>
      <c r="C1407" t="s">
        <v>1499</v>
      </c>
      <c r="D1407" t="s">
        <v>1500</v>
      </c>
      <c r="E1407" s="2"/>
      <c r="F1407" t="s">
        <v>1501</v>
      </c>
      <c r="G1407" t="s">
        <v>25</v>
      </c>
      <c r="H1407" t="s">
        <v>25</v>
      </c>
      <c r="I1407"/>
    </row>
    <row r="1408" spans="1:9">
      <c r="A1408" t="s">
        <v>1457</v>
      </c>
      <c r="B1408" s="1" t="str">
        <f>"20082765.2"</f>
        <v>20082765.2</v>
      </c>
      <c r="C1408" t="s">
        <v>1499</v>
      </c>
      <c r="D1408" t="s">
        <v>1500</v>
      </c>
      <c r="E1408" s="2"/>
      <c r="F1408" t="s">
        <v>1501</v>
      </c>
      <c r="G1408" t="s">
        <v>25</v>
      </c>
      <c r="H1408" t="s">
        <v>332</v>
      </c>
      <c r="I1408"/>
    </row>
    <row r="1409" spans="1:9">
      <c r="A1409" t="s">
        <v>1457</v>
      </c>
      <c r="B1409" s="1" t="str">
        <f>"20105471"</f>
        <v>20105471</v>
      </c>
      <c r="C1409" t="s">
        <v>1146</v>
      </c>
      <c r="D1409" t="s">
        <v>1502</v>
      </c>
      <c r="E1409" s="2"/>
      <c r="F1409" t="s">
        <v>27</v>
      </c>
      <c r="G1409" t="s">
        <v>25</v>
      </c>
      <c r="H1409" t="s">
        <v>25</v>
      </c>
      <c r="I1409"/>
    </row>
    <row r="1410" spans="1:9">
      <c r="A1410" t="s">
        <v>1457</v>
      </c>
      <c r="B1410" s="1" t="str">
        <f>"20105471.2"</f>
        <v>20105471.2</v>
      </c>
      <c r="C1410" t="s">
        <v>1146</v>
      </c>
      <c r="D1410" t="s">
        <v>1502</v>
      </c>
      <c r="E1410" s="2"/>
      <c r="F1410" t="s">
        <v>27</v>
      </c>
      <c r="G1410" t="s">
        <v>25</v>
      </c>
      <c r="H1410" t="s">
        <v>332</v>
      </c>
      <c r="I1410"/>
    </row>
    <row r="1411" spans="1:9">
      <c r="A1411" t="s">
        <v>1457</v>
      </c>
      <c r="B1411" s="1" t="str">
        <f>"20105525"</f>
        <v>20105525</v>
      </c>
      <c r="C1411" t="s">
        <v>1146</v>
      </c>
      <c r="D1411" t="s">
        <v>1503</v>
      </c>
      <c r="E1411" s="2"/>
      <c r="F1411" t="s">
        <v>27</v>
      </c>
      <c r="G1411" t="s">
        <v>25</v>
      </c>
      <c r="H1411" t="s">
        <v>25</v>
      </c>
      <c r="I1411"/>
    </row>
    <row r="1412" spans="1:9">
      <c r="A1412" t="s">
        <v>1457</v>
      </c>
      <c r="B1412" s="1" t="str">
        <f>"20105563"</f>
        <v>20105563</v>
      </c>
      <c r="C1412" t="s">
        <v>1146</v>
      </c>
      <c r="D1412" t="s">
        <v>1504</v>
      </c>
      <c r="E1412" s="2"/>
      <c r="F1412" t="s">
        <v>27</v>
      </c>
      <c r="G1412" t="s">
        <v>25</v>
      </c>
      <c r="H1412" t="s">
        <v>25</v>
      </c>
      <c r="I1412"/>
    </row>
    <row r="1413" spans="1:9">
      <c r="A1413" t="s">
        <v>1457</v>
      </c>
      <c r="B1413" s="1" t="str">
        <f>"20105532"</f>
        <v>20105532</v>
      </c>
      <c r="C1413" t="s">
        <v>1146</v>
      </c>
      <c r="D1413" t="s">
        <v>1505</v>
      </c>
      <c r="E1413" s="2"/>
      <c r="F1413" t="s">
        <v>27</v>
      </c>
      <c r="G1413" t="s">
        <v>25</v>
      </c>
      <c r="H1413" t="s">
        <v>25</v>
      </c>
      <c r="I1413"/>
    </row>
    <row r="1414" spans="1:9">
      <c r="A1414" t="s">
        <v>1457</v>
      </c>
      <c r="B1414" s="1" t="str">
        <f>"20115036"</f>
        <v>20115036</v>
      </c>
      <c r="C1414" t="s">
        <v>1146</v>
      </c>
      <c r="D1414" t="s">
        <v>1506</v>
      </c>
      <c r="E1414" s="2"/>
      <c r="F1414" t="s">
        <v>27</v>
      </c>
      <c r="G1414" t="s">
        <v>25</v>
      </c>
      <c r="H1414" t="s">
        <v>25</v>
      </c>
      <c r="I1414"/>
    </row>
    <row r="1415" spans="1:9">
      <c r="A1415" t="s">
        <v>1457</v>
      </c>
      <c r="B1415" s="1" t="str">
        <f>"20105488"</f>
        <v>20105488</v>
      </c>
      <c r="C1415" t="s">
        <v>1146</v>
      </c>
      <c r="D1415" t="s">
        <v>1507</v>
      </c>
      <c r="E1415" s="2"/>
      <c r="F1415" t="s">
        <v>27</v>
      </c>
      <c r="G1415" t="s">
        <v>25</v>
      </c>
      <c r="H1415" t="s">
        <v>25</v>
      </c>
      <c r="I1415"/>
    </row>
    <row r="1416" spans="1:9">
      <c r="A1416" t="s">
        <v>1457</v>
      </c>
      <c r="B1416" s="1" t="str">
        <f>"20088767"</f>
        <v>20088767</v>
      </c>
      <c r="C1416" t="s">
        <v>1146</v>
      </c>
      <c r="D1416" t="s">
        <v>1508</v>
      </c>
      <c r="E1416" s="2"/>
      <c r="F1416" t="s">
        <v>27</v>
      </c>
      <c r="G1416" t="s">
        <v>25</v>
      </c>
      <c r="H1416" t="s">
        <v>25</v>
      </c>
      <c r="I1416"/>
    </row>
    <row r="1417" spans="1:9">
      <c r="A1417" t="s">
        <v>1457</v>
      </c>
      <c r="B1417" s="1" t="str">
        <f>"20065898"</f>
        <v>20065898</v>
      </c>
      <c r="C1417" t="s">
        <v>343</v>
      </c>
      <c r="D1417" t="s">
        <v>1509</v>
      </c>
      <c r="E1417" s="2"/>
      <c r="F1417" t="s">
        <v>27</v>
      </c>
      <c r="G1417" t="s">
        <v>37</v>
      </c>
      <c r="H1417" t="s">
        <v>37</v>
      </c>
      <c r="I1417"/>
    </row>
    <row r="1418" spans="1:9">
      <c r="A1418" t="s">
        <v>1457</v>
      </c>
      <c r="B1418" s="1" t="str">
        <f>"20269104"</f>
        <v>20269104</v>
      </c>
      <c r="C1418" t="s">
        <v>343</v>
      </c>
      <c r="D1418" t="s">
        <v>1510</v>
      </c>
      <c r="E1418" s="2"/>
      <c r="F1418" t="s">
        <v>27</v>
      </c>
      <c r="G1418" t="s">
        <v>25</v>
      </c>
      <c r="H1418" t="s">
        <v>25</v>
      </c>
      <c r="I1418"/>
    </row>
    <row r="1419" spans="1:9">
      <c r="A1419" t="s">
        <v>1457</v>
      </c>
      <c r="B1419" s="1" t="str">
        <f>"20269067"</f>
        <v>20269067</v>
      </c>
      <c r="C1419" t="s">
        <v>343</v>
      </c>
      <c r="D1419" t="s">
        <v>1511</v>
      </c>
      <c r="E1419" s="2"/>
      <c r="F1419" t="s">
        <v>27</v>
      </c>
      <c r="G1419" t="s">
        <v>37</v>
      </c>
      <c r="H1419" t="s">
        <v>37</v>
      </c>
      <c r="I1419"/>
    </row>
    <row r="1420" spans="1:9">
      <c r="A1420" t="s">
        <v>1457</v>
      </c>
      <c r="B1420" s="1" t="str">
        <f>"20269081"</f>
        <v>20269081</v>
      </c>
      <c r="C1420" t="s">
        <v>343</v>
      </c>
      <c r="D1420" t="s">
        <v>1502</v>
      </c>
      <c r="E1420" s="2"/>
      <c r="F1420" t="s">
        <v>27</v>
      </c>
      <c r="G1420" t="s">
        <v>25</v>
      </c>
      <c r="H1420" t="s">
        <v>25</v>
      </c>
      <c r="I1420"/>
    </row>
    <row r="1421" spans="1:9">
      <c r="A1421" t="s">
        <v>1457</v>
      </c>
      <c r="B1421" s="1" t="str">
        <f>"20269081.2"</f>
        <v>20269081.2</v>
      </c>
      <c r="C1421" t="s">
        <v>343</v>
      </c>
      <c r="D1421" t="s">
        <v>1502</v>
      </c>
      <c r="E1421" s="2"/>
      <c r="F1421" t="s">
        <v>27</v>
      </c>
      <c r="G1421" t="s">
        <v>25</v>
      </c>
      <c r="H1421" t="s">
        <v>332</v>
      </c>
      <c r="I1421"/>
    </row>
    <row r="1422" spans="1:9">
      <c r="A1422" t="s">
        <v>1457</v>
      </c>
      <c r="B1422" s="1" t="str">
        <f>"20515478"</f>
        <v>20515478</v>
      </c>
      <c r="C1422" t="s">
        <v>343</v>
      </c>
      <c r="D1422" t="s">
        <v>1512</v>
      </c>
      <c r="E1422" s="2"/>
      <c r="F1422" t="s">
        <v>66</v>
      </c>
      <c r="G1422" t="s">
        <v>1513</v>
      </c>
      <c r="H1422" t="s">
        <v>1513</v>
      </c>
      <c r="I1422"/>
    </row>
    <row r="1423" spans="1:9">
      <c r="A1423" t="s">
        <v>1457</v>
      </c>
      <c r="B1423" s="1" t="str">
        <f>"20515478.2"</f>
        <v>20515478.2</v>
      </c>
      <c r="C1423" t="s">
        <v>343</v>
      </c>
      <c r="D1423" t="s">
        <v>1512</v>
      </c>
      <c r="E1423" s="2"/>
      <c r="F1423" t="s">
        <v>66</v>
      </c>
      <c r="G1423" t="s">
        <v>1513</v>
      </c>
      <c r="H1423" t="s">
        <v>1088</v>
      </c>
      <c r="I1423"/>
    </row>
    <row r="1424" spans="1:9">
      <c r="A1424" t="s">
        <v>1457</v>
      </c>
      <c r="B1424" s="1" t="str">
        <f>"20190080"</f>
        <v>20190080</v>
      </c>
      <c r="C1424" t="s">
        <v>343</v>
      </c>
      <c r="D1424" t="s">
        <v>1514</v>
      </c>
      <c r="E1424" s="2"/>
      <c r="F1424" t="s">
        <v>66</v>
      </c>
      <c r="G1424" t="s">
        <v>346</v>
      </c>
      <c r="H1424" t="s">
        <v>346</v>
      </c>
      <c r="I1424"/>
    </row>
    <row r="1425" spans="1:9">
      <c r="A1425" t="s">
        <v>1457</v>
      </c>
      <c r="B1425" s="1" t="str">
        <f>"20190080.2"</f>
        <v>20190080.2</v>
      </c>
      <c r="C1425" t="s">
        <v>343</v>
      </c>
      <c r="D1425" t="s">
        <v>1514</v>
      </c>
      <c r="E1425" s="2"/>
      <c r="F1425" t="s">
        <v>66</v>
      </c>
      <c r="G1425" t="s">
        <v>346</v>
      </c>
      <c r="H1425" t="s">
        <v>332</v>
      </c>
      <c r="I1425"/>
    </row>
    <row r="1426" spans="1:9">
      <c r="A1426" t="s">
        <v>1457</v>
      </c>
      <c r="B1426" s="1" t="str">
        <f>"20062088"</f>
        <v>20062088</v>
      </c>
      <c r="C1426" t="s">
        <v>343</v>
      </c>
      <c r="D1426" t="s">
        <v>1515</v>
      </c>
      <c r="E1426" s="2"/>
      <c r="F1426" t="s">
        <v>66</v>
      </c>
      <c r="G1426" t="s">
        <v>346</v>
      </c>
      <c r="H1426" t="s">
        <v>346</v>
      </c>
      <c r="I1426"/>
    </row>
    <row r="1427" spans="1:9">
      <c r="A1427" t="s">
        <v>1457</v>
      </c>
      <c r="B1427" s="1" t="str">
        <f>"20062088.2"</f>
        <v>20062088.2</v>
      </c>
      <c r="C1427" t="s">
        <v>343</v>
      </c>
      <c r="D1427" t="s">
        <v>1515</v>
      </c>
      <c r="E1427" s="2"/>
      <c r="F1427" t="s">
        <v>66</v>
      </c>
      <c r="G1427" t="s">
        <v>346</v>
      </c>
      <c r="H1427" t="s">
        <v>332</v>
      </c>
      <c r="I1427"/>
    </row>
    <row r="1428" spans="1:9">
      <c r="A1428" t="s">
        <v>1457</v>
      </c>
      <c r="B1428" s="1" t="str">
        <f>"20017360"</f>
        <v>20017360</v>
      </c>
      <c r="C1428" t="s">
        <v>343</v>
      </c>
      <c r="D1428" t="s">
        <v>1516</v>
      </c>
      <c r="E1428" s="2"/>
      <c r="F1428" t="s">
        <v>66</v>
      </c>
      <c r="G1428" t="s">
        <v>346</v>
      </c>
      <c r="H1428" t="s">
        <v>346</v>
      </c>
      <c r="I1428"/>
    </row>
    <row r="1429" spans="1:9">
      <c r="A1429" t="s">
        <v>1457</v>
      </c>
      <c r="B1429" s="1" t="str">
        <f>"20017360.2"</f>
        <v>20017360.2</v>
      </c>
      <c r="C1429" t="s">
        <v>343</v>
      </c>
      <c r="D1429" t="s">
        <v>1516</v>
      </c>
      <c r="E1429" s="2"/>
      <c r="F1429" t="s">
        <v>66</v>
      </c>
      <c r="G1429" t="s">
        <v>346</v>
      </c>
      <c r="H1429" t="s">
        <v>332</v>
      </c>
      <c r="I1429"/>
    </row>
    <row r="1430" spans="1:9">
      <c r="A1430" t="s">
        <v>1457</v>
      </c>
      <c r="B1430" s="1" t="str">
        <f>"20050672"</f>
        <v>20050672</v>
      </c>
      <c r="C1430" t="s">
        <v>343</v>
      </c>
      <c r="D1430" t="s">
        <v>1517</v>
      </c>
      <c r="E1430" s="2"/>
      <c r="F1430" t="s">
        <v>66</v>
      </c>
      <c r="G1430" t="s">
        <v>346</v>
      </c>
      <c r="H1430" t="s">
        <v>346</v>
      </c>
      <c r="I1430"/>
    </row>
    <row r="1431" spans="1:9">
      <c r="A1431" t="s">
        <v>1457</v>
      </c>
      <c r="B1431" s="1" t="str">
        <f>"20050672.2"</f>
        <v>20050672.2</v>
      </c>
      <c r="C1431" t="s">
        <v>343</v>
      </c>
      <c r="D1431" t="s">
        <v>1517</v>
      </c>
      <c r="E1431" s="2"/>
      <c r="F1431" t="s">
        <v>66</v>
      </c>
      <c r="G1431" t="s">
        <v>346</v>
      </c>
      <c r="H1431" t="s">
        <v>332</v>
      </c>
      <c r="I1431"/>
    </row>
    <row r="1432" spans="1:9">
      <c r="A1432" t="s">
        <v>1457</v>
      </c>
      <c r="B1432" s="1" t="str">
        <f>"20065980"</f>
        <v>20065980</v>
      </c>
      <c r="C1432" t="s">
        <v>343</v>
      </c>
      <c r="D1432" t="s">
        <v>1518</v>
      </c>
      <c r="E1432" s="2"/>
      <c r="F1432" t="s">
        <v>66</v>
      </c>
      <c r="G1432" t="s">
        <v>346</v>
      </c>
      <c r="H1432" t="s">
        <v>346</v>
      </c>
      <c r="I1432"/>
    </row>
    <row r="1433" spans="1:9">
      <c r="A1433" t="s">
        <v>1457</v>
      </c>
      <c r="B1433" s="1" t="str">
        <f>"20065980.2"</f>
        <v>20065980.2</v>
      </c>
      <c r="C1433" t="s">
        <v>343</v>
      </c>
      <c r="D1433" t="s">
        <v>1518</v>
      </c>
      <c r="E1433" s="2"/>
      <c r="F1433" t="s">
        <v>66</v>
      </c>
      <c r="G1433" t="s">
        <v>346</v>
      </c>
      <c r="H1433" t="s">
        <v>332</v>
      </c>
      <c r="I1433"/>
    </row>
    <row r="1434" spans="1:9">
      <c r="A1434" t="s">
        <v>1457</v>
      </c>
      <c r="B1434" s="1" t="str">
        <f>"20050696"</f>
        <v>20050696</v>
      </c>
      <c r="C1434" t="s">
        <v>343</v>
      </c>
      <c r="D1434" t="s">
        <v>1519</v>
      </c>
      <c r="E1434" s="2"/>
      <c r="F1434" t="s">
        <v>66</v>
      </c>
      <c r="G1434"/>
      <c r="H1434" t="s">
        <v>346</v>
      </c>
      <c r="I1434"/>
    </row>
    <row r="1435" spans="1:9">
      <c r="A1435" t="s">
        <v>1457</v>
      </c>
      <c r="B1435" s="1" t="str">
        <f>"20050696.2"</f>
        <v>20050696.2</v>
      </c>
      <c r="C1435" t="s">
        <v>343</v>
      </c>
      <c r="D1435" t="s">
        <v>1519</v>
      </c>
      <c r="E1435" s="2"/>
      <c r="F1435" t="s">
        <v>66</v>
      </c>
      <c r="G1435"/>
      <c r="H1435" t="s">
        <v>332</v>
      </c>
      <c r="I1435"/>
    </row>
    <row r="1436" spans="1:9">
      <c r="A1436" t="s">
        <v>1457</v>
      </c>
      <c r="B1436" s="1" t="str">
        <f>"20070205"</f>
        <v>20070205</v>
      </c>
      <c r="C1436" t="s">
        <v>343</v>
      </c>
      <c r="D1436" t="s">
        <v>1520</v>
      </c>
      <c r="E1436" s="2"/>
      <c r="F1436" t="s">
        <v>66</v>
      </c>
      <c r="G1436" t="s">
        <v>346</v>
      </c>
      <c r="H1436" t="s">
        <v>346</v>
      </c>
      <c r="I1436"/>
    </row>
    <row r="1437" spans="1:9">
      <c r="A1437" t="s">
        <v>1457</v>
      </c>
      <c r="B1437" s="1" t="str">
        <f>"20070205.2"</f>
        <v>20070205.2</v>
      </c>
      <c r="C1437" t="s">
        <v>343</v>
      </c>
      <c r="D1437" t="s">
        <v>1520</v>
      </c>
      <c r="E1437" s="2"/>
      <c r="F1437" t="s">
        <v>66</v>
      </c>
      <c r="G1437" t="s">
        <v>346</v>
      </c>
      <c r="H1437" t="s">
        <v>332</v>
      </c>
      <c r="I1437"/>
    </row>
    <row r="1438" spans="1:9">
      <c r="A1438" t="s">
        <v>1457</v>
      </c>
      <c r="B1438" s="1" t="str">
        <f>"20825942"</f>
        <v>20825942</v>
      </c>
      <c r="C1438" t="s">
        <v>343</v>
      </c>
      <c r="D1438" t="s">
        <v>1521</v>
      </c>
      <c r="E1438" s="2"/>
      <c r="F1438" t="s">
        <v>27</v>
      </c>
      <c r="G1438" t="s">
        <v>25</v>
      </c>
      <c r="H1438" t="s">
        <v>25</v>
      </c>
      <c r="I1438"/>
    </row>
    <row r="1439" spans="1:9">
      <c r="A1439" t="s">
        <v>1457</v>
      </c>
      <c r="B1439" s="1" t="str">
        <f>"20065744"</f>
        <v>20065744</v>
      </c>
      <c r="C1439" t="s">
        <v>343</v>
      </c>
      <c r="D1439" t="s">
        <v>1522</v>
      </c>
      <c r="E1439" s="2"/>
      <c r="F1439" t="s">
        <v>27</v>
      </c>
      <c r="G1439" t="s">
        <v>1034</v>
      </c>
      <c r="H1439" t="s">
        <v>1034</v>
      </c>
      <c r="I1439"/>
    </row>
    <row r="1440" spans="1:9">
      <c r="A1440" t="s">
        <v>1457</v>
      </c>
      <c r="B1440" s="1" t="str">
        <f>"20065744.2"</f>
        <v>20065744.2</v>
      </c>
      <c r="C1440" t="s">
        <v>343</v>
      </c>
      <c r="D1440" t="s">
        <v>1522</v>
      </c>
      <c r="E1440" s="2"/>
      <c r="F1440" t="s">
        <v>27</v>
      </c>
      <c r="G1440" t="s">
        <v>1034</v>
      </c>
      <c r="H1440" t="s">
        <v>1088</v>
      </c>
      <c r="I1440"/>
    </row>
    <row r="1441" spans="1:9">
      <c r="A1441" t="s">
        <v>1457</v>
      </c>
      <c r="B1441" s="1" t="str">
        <f>"20170134"</f>
        <v>20170134</v>
      </c>
      <c r="C1441" t="s">
        <v>343</v>
      </c>
      <c r="D1441" t="s">
        <v>1492</v>
      </c>
      <c r="E1441" s="2"/>
      <c r="F1441" t="s">
        <v>206</v>
      </c>
      <c r="G1441" t="s">
        <v>189</v>
      </c>
      <c r="H1441" t="s">
        <v>189</v>
      </c>
      <c r="I1441"/>
    </row>
    <row r="1442" spans="1:9">
      <c r="A1442" t="s">
        <v>1457</v>
      </c>
      <c r="B1442" s="1" t="str">
        <f>"20170134.2"</f>
        <v>20170134.2</v>
      </c>
      <c r="C1442" t="s">
        <v>343</v>
      </c>
      <c r="D1442" t="s">
        <v>1492</v>
      </c>
      <c r="E1442" s="2"/>
      <c r="F1442" t="s">
        <v>206</v>
      </c>
      <c r="G1442" t="s">
        <v>189</v>
      </c>
      <c r="H1442" t="s">
        <v>1453</v>
      </c>
      <c r="I1442"/>
    </row>
    <row r="1443" spans="1:9">
      <c r="A1443" t="s">
        <v>1457</v>
      </c>
      <c r="B1443" s="1" t="str">
        <f>"20295530"</f>
        <v>20295530</v>
      </c>
      <c r="C1443" t="s">
        <v>343</v>
      </c>
      <c r="D1443" t="s">
        <v>1492</v>
      </c>
      <c r="E1443" s="2"/>
      <c r="F1443" t="s">
        <v>380</v>
      </c>
      <c r="G1443" t="s">
        <v>1456</v>
      </c>
      <c r="H1443" t="s">
        <v>1456</v>
      </c>
      <c r="I1443"/>
    </row>
    <row r="1444" spans="1:9">
      <c r="A1444" t="s">
        <v>1457</v>
      </c>
      <c r="B1444" s="1" t="str">
        <f>"20295530.2"</f>
        <v>20295530.2</v>
      </c>
      <c r="C1444" t="s">
        <v>343</v>
      </c>
      <c r="D1444" t="s">
        <v>1492</v>
      </c>
      <c r="E1444" s="2"/>
      <c r="F1444" t="s">
        <v>380</v>
      </c>
      <c r="G1444" t="s">
        <v>1456</v>
      </c>
      <c r="H1444" t="s">
        <v>1453</v>
      </c>
      <c r="I1444"/>
    </row>
    <row r="1445" spans="1:9">
      <c r="A1445" t="s">
        <v>1457</v>
      </c>
      <c r="B1445" s="1" t="str">
        <f>"20269074"</f>
        <v>20269074</v>
      </c>
      <c r="C1445" t="s">
        <v>343</v>
      </c>
      <c r="D1445" t="s">
        <v>1523</v>
      </c>
      <c r="E1445" s="2"/>
      <c r="F1445" t="s">
        <v>27</v>
      </c>
      <c r="G1445" t="s">
        <v>25</v>
      </c>
      <c r="H1445" t="s">
        <v>25</v>
      </c>
      <c r="I1445"/>
    </row>
    <row r="1446" spans="1:9">
      <c r="A1446" t="s">
        <v>1457</v>
      </c>
      <c r="B1446" s="1" t="str">
        <f>"20348320"</f>
        <v>20348320</v>
      </c>
      <c r="C1446" t="s">
        <v>1524</v>
      </c>
      <c r="D1446" t="s">
        <v>1525</v>
      </c>
      <c r="E1446" s="2"/>
      <c r="F1446" t="s">
        <v>129</v>
      </c>
      <c r="G1446" t="s">
        <v>38</v>
      </c>
      <c r="H1446" t="s">
        <v>38</v>
      </c>
      <c r="I1446"/>
    </row>
    <row r="1447" spans="1:9">
      <c r="A1447" t="s">
        <v>1457</v>
      </c>
      <c r="B1447" s="1" t="str">
        <f>"20348252"</f>
        <v>20348252</v>
      </c>
      <c r="C1447" t="s">
        <v>1524</v>
      </c>
      <c r="D1447" t="s">
        <v>1526</v>
      </c>
      <c r="E1447" s="2"/>
      <c r="F1447" t="s">
        <v>129</v>
      </c>
      <c r="G1447" t="s">
        <v>38</v>
      </c>
      <c r="H1447" t="s">
        <v>38</v>
      </c>
      <c r="I1447"/>
    </row>
    <row r="1448" spans="1:9">
      <c r="A1448" t="s">
        <v>1457</v>
      </c>
      <c r="B1448" s="1" t="str">
        <f>"20408920"</f>
        <v>20408920</v>
      </c>
      <c r="C1448" t="s">
        <v>1524</v>
      </c>
      <c r="D1448" t="s">
        <v>1527</v>
      </c>
      <c r="E1448" s="2"/>
      <c r="F1448" t="s">
        <v>129</v>
      </c>
      <c r="G1448" t="s">
        <v>38</v>
      </c>
      <c r="H1448" t="s">
        <v>38</v>
      </c>
      <c r="I1448"/>
    </row>
    <row r="1449" spans="1:9">
      <c r="A1449" t="s">
        <v>1457</v>
      </c>
      <c r="B1449" s="1" t="str">
        <f>"20535834"</f>
        <v>20535834</v>
      </c>
      <c r="C1449" t="s">
        <v>1524</v>
      </c>
      <c r="D1449" t="s">
        <v>1528</v>
      </c>
      <c r="E1449" s="2"/>
      <c r="F1449" t="s">
        <v>129</v>
      </c>
      <c r="G1449" t="s">
        <v>38</v>
      </c>
      <c r="H1449" t="s">
        <v>38</v>
      </c>
      <c r="I1449"/>
    </row>
    <row r="1450" spans="1:9">
      <c r="A1450" t="s">
        <v>1457</v>
      </c>
      <c r="B1450" s="1" t="str">
        <f>"20065232"</f>
        <v>20065232</v>
      </c>
      <c r="C1450" t="s">
        <v>1529</v>
      </c>
      <c r="D1450" t="s">
        <v>1530</v>
      </c>
      <c r="E1450" s="2"/>
      <c r="F1450" t="s">
        <v>380</v>
      </c>
      <c r="G1450" t="s">
        <v>1531</v>
      </c>
      <c r="H1450" t="s">
        <v>1531</v>
      </c>
      <c r="I1450"/>
    </row>
    <row r="1451" spans="1:9">
      <c r="A1451" t="s">
        <v>1457</v>
      </c>
      <c r="B1451" s="1" t="str">
        <f>"20065232.2"</f>
        <v>20065232.2</v>
      </c>
      <c r="C1451" t="s">
        <v>1529</v>
      </c>
      <c r="D1451" t="s">
        <v>1530</v>
      </c>
      <c r="E1451" s="2"/>
      <c r="F1451" t="s">
        <v>380</v>
      </c>
      <c r="G1451" t="s">
        <v>1531</v>
      </c>
      <c r="H1451" t="s">
        <v>1453</v>
      </c>
      <c r="I1451"/>
    </row>
    <row r="1452" spans="1:9">
      <c r="A1452" t="s">
        <v>1457</v>
      </c>
      <c r="B1452" s="1" t="str">
        <f>"20065355"</f>
        <v>20065355</v>
      </c>
      <c r="C1452" t="s">
        <v>1529</v>
      </c>
      <c r="D1452" t="s">
        <v>1530</v>
      </c>
      <c r="E1452" s="2"/>
      <c r="F1452" t="s">
        <v>27</v>
      </c>
      <c r="G1452" t="s">
        <v>120</v>
      </c>
      <c r="H1452" t="s">
        <v>120</v>
      </c>
      <c r="I1452"/>
    </row>
    <row r="1453" spans="1:9">
      <c r="A1453" t="s">
        <v>1457</v>
      </c>
      <c r="B1453" s="1" t="str">
        <f>"20065355.2"</f>
        <v>20065355.2</v>
      </c>
      <c r="C1453" t="s">
        <v>1529</v>
      </c>
      <c r="D1453" t="s">
        <v>1530</v>
      </c>
      <c r="E1453" s="2"/>
      <c r="F1453" t="s">
        <v>27</v>
      </c>
      <c r="G1453" t="s">
        <v>120</v>
      </c>
      <c r="H1453" t="s">
        <v>1088</v>
      </c>
      <c r="I1453"/>
    </row>
    <row r="1454" spans="1:9">
      <c r="A1454" t="s">
        <v>1457</v>
      </c>
      <c r="B1454" s="1" t="str">
        <f>"20169688"</f>
        <v>20169688</v>
      </c>
      <c r="C1454" t="s">
        <v>1529</v>
      </c>
      <c r="D1454" t="s">
        <v>1530</v>
      </c>
      <c r="E1454" s="2"/>
      <c r="F1454" t="s">
        <v>206</v>
      </c>
      <c r="G1454" t="s">
        <v>189</v>
      </c>
      <c r="H1454" t="s">
        <v>189</v>
      </c>
      <c r="I1454"/>
    </row>
    <row r="1455" spans="1:9">
      <c r="A1455" t="s">
        <v>1457</v>
      </c>
      <c r="B1455" s="1" t="str">
        <f>"20169688.2"</f>
        <v>20169688.2</v>
      </c>
      <c r="C1455" t="s">
        <v>1529</v>
      </c>
      <c r="D1455" t="s">
        <v>1530</v>
      </c>
      <c r="E1455" s="2"/>
      <c r="F1455" t="s">
        <v>206</v>
      </c>
      <c r="G1455" t="s">
        <v>189</v>
      </c>
      <c r="H1455" t="s">
        <v>1453</v>
      </c>
      <c r="I1455"/>
    </row>
    <row r="1456" spans="1:9">
      <c r="A1456" t="s">
        <v>1457</v>
      </c>
      <c r="B1456" s="1" t="str">
        <f>"20043865"</f>
        <v>20043865</v>
      </c>
      <c r="C1456" t="s">
        <v>1529</v>
      </c>
      <c r="D1456" t="s">
        <v>1532</v>
      </c>
      <c r="E1456" s="2"/>
      <c r="F1456" t="s">
        <v>27</v>
      </c>
      <c r="G1456" t="s">
        <v>120</v>
      </c>
      <c r="H1456" t="s">
        <v>120</v>
      </c>
      <c r="I1456"/>
    </row>
    <row r="1457" spans="1:9">
      <c r="A1457" t="s">
        <v>1457</v>
      </c>
      <c r="B1457" s="1" t="str">
        <f>"20043865.2"</f>
        <v>20043865.2</v>
      </c>
      <c r="C1457" t="s">
        <v>1529</v>
      </c>
      <c r="D1457" t="s">
        <v>1532</v>
      </c>
      <c r="E1457" s="2"/>
      <c r="F1457" t="s">
        <v>27</v>
      </c>
      <c r="G1457" t="s">
        <v>120</v>
      </c>
      <c r="H1457" t="s">
        <v>1088</v>
      </c>
      <c r="I1457"/>
    </row>
    <row r="1458" spans="1:9">
      <c r="A1458" t="s">
        <v>1457</v>
      </c>
      <c r="B1458" s="1" t="str">
        <f>"20825973"</f>
        <v>20825973</v>
      </c>
      <c r="C1458" t="s">
        <v>1529</v>
      </c>
      <c r="D1458" t="s">
        <v>1532</v>
      </c>
      <c r="E1458" s="2"/>
      <c r="F1458" t="s">
        <v>380</v>
      </c>
      <c r="G1458" t="s">
        <v>1531</v>
      </c>
      <c r="H1458" t="s">
        <v>1531</v>
      </c>
      <c r="I1458"/>
    </row>
    <row r="1459" spans="1:9">
      <c r="A1459" t="s">
        <v>1457</v>
      </c>
      <c r="B1459" s="1" t="str">
        <f>"20825973.2"</f>
        <v>20825973.2</v>
      </c>
      <c r="C1459" t="s">
        <v>1529</v>
      </c>
      <c r="D1459" t="s">
        <v>1532</v>
      </c>
      <c r="E1459" s="2"/>
      <c r="F1459" t="s">
        <v>380</v>
      </c>
      <c r="G1459" t="s">
        <v>1531</v>
      </c>
      <c r="H1459" t="s">
        <v>1453</v>
      </c>
      <c r="I1459"/>
    </row>
    <row r="1460" spans="1:9">
      <c r="A1460" t="s">
        <v>1457</v>
      </c>
      <c r="B1460" s="1" t="str">
        <f>"12084550"</f>
        <v>12084550</v>
      </c>
      <c r="C1460" t="s">
        <v>1533</v>
      </c>
      <c r="D1460" t="s">
        <v>1534</v>
      </c>
      <c r="E1460" s="2"/>
      <c r="F1460" t="s">
        <v>1461</v>
      </c>
      <c r="G1460" t="s">
        <v>29</v>
      </c>
      <c r="H1460" t="s">
        <v>29</v>
      </c>
      <c r="I1460"/>
    </row>
    <row r="1461" spans="1:9">
      <c r="A1461" t="s">
        <v>1457</v>
      </c>
      <c r="B1461" s="1" t="str">
        <f>"20018726"</f>
        <v>20018726</v>
      </c>
      <c r="C1461" t="s">
        <v>407</v>
      </c>
      <c r="D1461" t="s">
        <v>1535</v>
      </c>
      <c r="E1461" s="2"/>
      <c r="F1461"/>
      <c r="G1461" t="s">
        <v>25</v>
      </c>
      <c r="H1461" t="s">
        <v>25</v>
      </c>
      <c r="I1461"/>
    </row>
    <row r="1462" spans="1:9">
      <c r="A1462" t="s">
        <v>1457</v>
      </c>
      <c r="B1462" s="1" t="str">
        <f>"20018726.2"</f>
        <v>20018726.2</v>
      </c>
      <c r="C1462" t="s">
        <v>407</v>
      </c>
      <c r="D1462" t="s">
        <v>1535</v>
      </c>
      <c r="E1462" s="2"/>
      <c r="F1462"/>
      <c r="G1462" t="s">
        <v>25</v>
      </c>
      <c r="H1462" t="s">
        <v>332</v>
      </c>
      <c r="I1462"/>
    </row>
    <row r="1463" spans="1:9">
      <c r="A1463" t="s">
        <v>1457</v>
      </c>
      <c r="B1463" s="1" t="str">
        <f>"20019778"</f>
        <v>20019778</v>
      </c>
      <c r="C1463" t="s">
        <v>407</v>
      </c>
      <c r="D1463" t="s">
        <v>1334</v>
      </c>
      <c r="E1463" s="2"/>
      <c r="F1463" t="s">
        <v>90</v>
      </c>
      <c r="G1463" t="s">
        <v>1463</v>
      </c>
      <c r="H1463" t="s">
        <v>1463</v>
      </c>
      <c r="I1463"/>
    </row>
    <row r="1464" spans="1:9">
      <c r="A1464" t="s">
        <v>1457</v>
      </c>
      <c r="B1464" s="1" t="str">
        <f>"20019778.2"</f>
        <v>20019778.2</v>
      </c>
      <c r="C1464" t="s">
        <v>407</v>
      </c>
      <c r="D1464" t="s">
        <v>1334</v>
      </c>
      <c r="E1464" s="2"/>
      <c r="F1464" t="s">
        <v>90</v>
      </c>
      <c r="G1464" t="s">
        <v>1463</v>
      </c>
      <c r="H1464" t="s">
        <v>332</v>
      </c>
      <c r="I1464"/>
    </row>
    <row r="1465" spans="1:9">
      <c r="A1465" t="s">
        <v>1457</v>
      </c>
      <c r="B1465" s="1" t="str">
        <f>"20190072"</f>
        <v>20190072</v>
      </c>
      <c r="C1465" t="s">
        <v>1536</v>
      </c>
      <c r="D1465" t="s">
        <v>1537</v>
      </c>
      <c r="E1465" s="2"/>
      <c r="F1465" t="s">
        <v>206</v>
      </c>
      <c r="G1465" t="s">
        <v>37</v>
      </c>
      <c r="H1465" t="s">
        <v>37</v>
      </c>
      <c r="I1465"/>
    </row>
    <row r="1466" spans="1:9">
      <c r="A1466" t="s">
        <v>1457</v>
      </c>
      <c r="B1466" s="1" t="str">
        <f>"12456570"</f>
        <v>12456570</v>
      </c>
      <c r="C1466" t="s">
        <v>1538</v>
      </c>
      <c r="D1466" t="s">
        <v>1539</v>
      </c>
      <c r="E1466" s="2"/>
      <c r="F1466" t="s">
        <v>1540</v>
      </c>
      <c r="G1466" t="s">
        <v>370</v>
      </c>
      <c r="H1466" t="s">
        <v>370</v>
      </c>
      <c r="I1466"/>
    </row>
    <row r="1467" spans="1:9">
      <c r="A1467" t="s">
        <v>1457</v>
      </c>
      <c r="B1467" s="1" t="str">
        <f>"12456570.2"</f>
        <v>12456570.2</v>
      </c>
      <c r="C1467" t="s">
        <v>1538</v>
      </c>
      <c r="D1467" t="s">
        <v>1539</v>
      </c>
      <c r="E1467" s="2"/>
      <c r="F1467" t="s">
        <v>1540</v>
      </c>
      <c r="G1467" t="s">
        <v>370</v>
      </c>
      <c r="H1467" t="s">
        <v>332</v>
      </c>
      <c r="I1467"/>
    </row>
    <row r="1468" spans="1:9">
      <c r="A1468" t="s">
        <v>1457</v>
      </c>
      <c r="B1468" s="1" t="str">
        <f>"20119911"</f>
        <v>20119911</v>
      </c>
      <c r="C1468" t="s">
        <v>1538</v>
      </c>
      <c r="D1468" t="s">
        <v>1541</v>
      </c>
      <c r="E1468" s="2"/>
      <c r="F1468" t="s">
        <v>1542</v>
      </c>
      <c r="G1468" t="s">
        <v>29</v>
      </c>
      <c r="H1468" t="s">
        <v>29</v>
      </c>
      <c r="I1468"/>
    </row>
    <row r="1469" spans="1:9">
      <c r="A1469" t="s">
        <v>1457</v>
      </c>
      <c r="B1469" s="1" t="str">
        <f>"20119911.2"</f>
        <v>20119911.2</v>
      </c>
      <c r="C1469" t="s">
        <v>1538</v>
      </c>
      <c r="D1469" t="s">
        <v>1541</v>
      </c>
      <c r="E1469" s="2"/>
      <c r="F1469" t="s">
        <v>1542</v>
      </c>
      <c r="G1469" t="s">
        <v>29</v>
      </c>
      <c r="H1469" t="s">
        <v>332</v>
      </c>
      <c r="I1469"/>
    </row>
    <row r="1470" spans="1:9">
      <c r="A1470" t="s">
        <v>1457</v>
      </c>
      <c r="B1470" s="1" t="str">
        <f>"24000028"</f>
        <v>24000028</v>
      </c>
      <c r="C1470" t="s">
        <v>1543</v>
      </c>
      <c r="D1470" t="s">
        <v>1544</v>
      </c>
      <c r="E1470" s="2"/>
      <c r="F1470" t="s">
        <v>90</v>
      </c>
      <c r="G1470" t="s">
        <v>120</v>
      </c>
      <c r="H1470" t="s">
        <v>120</v>
      </c>
      <c r="I1470"/>
    </row>
    <row r="1471" spans="1:9">
      <c r="A1471" t="s">
        <v>1457</v>
      </c>
      <c r="B1471" s="1" t="str">
        <f>"24000028.2"</f>
        <v>24000028.2</v>
      </c>
      <c r="C1471" t="s">
        <v>1543</v>
      </c>
      <c r="D1471" t="s">
        <v>1544</v>
      </c>
      <c r="E1471" s="2"/>
      <c r="F1471" t="s">
        <v>90</v>
      </c>
      <c r="G1471" t="s">
        <v>120</v>
      </c>
      <c r="H1471" t="s">
        <v>1088</v>
      </c>
      <c r="I1471"/>
    </row>
    <row r="1472" spans="1:9">
      <c r="A1472" t="s">
        <v>1457</v>
      </c>
      <c r="B1472" s="1" t="str">
        <f>"24000029"</f>
        <v>24000029</v>
      </c>
      <c r="C1472" t="s">
        <v>1543</v>
      </c>
      <c r="D1472" t="s">
        <v>1545</v>
      </c>
      <c r="E1472" s="2"/>
      <c r="F1472" t="s">
        <v>90</v>
      </c>
      <c r="G1472" t="s">
        <v>120</v>
      </c>
      <c r="H1472" t="s">
        <v>120</v>
      </c>
      <c r="I1472"/>
    </row>
    <row r="1473" spans="1:9">
      <c r="A1473" t="s">
        <v>1457</v>
      </c>
      <c r="B1473" s="1" t="str">
        <f>"24000029.2"</f>
        <v>24000029.2</v>
      </c>
      <c r="C1473" t="s">
        <v>1543</v>
      </c>
      <c r="D1473" t="s">
        <v>1545</v>
      </c>
      <c r="E1473" s="2"/>
      <c r="F1473" t="s">
        <v>90</v>
      </c>
      <c r="G1473" t="s">
        <v>120</v>
      </c>
      <c r="H1473" t="s">
        <v>1088</v>
      </c>
      <c r="I1473"/>
    </row>
    <row r="1474" spans="1:9">
      <c r="A1474" t="s">
        <v>1457</v>
      </c>
      <c r="B1474" s="1" t="str">
        <f>"20085278"</f>
        <v>20085278</v>
      </c>
      <c r="C1474" t="s">
        <v>1546</v>
      </c>
      <c r="D1474" t="s">
        <v>1547</v>
      </c>
      <c r="E1474" s="2"/>
      <c r="F1474" t="s">
        <v>137</v>
      </c>
      <c r="G1474" t="s">
        <v>37</v>
      </c>
      <c r="H1474" t="s">
        <v>37</v>
      </c>
      <c r="I1474"/>
    </row>
    <row r="1475" spans="1:9">
      <c r="A1475" t="s">
        <v>1457</v>
      </c>
      <c r="B1475" s="1" t="str">
        <f>"20061616"</f>
        <v>20061616</v>
      </c>
      <c r="C1475" t="s">
        <v>393</v>
      </c>
      <c r="D1475" t="s">
        <v>1548</v>
      </c>
      <c r="E1475" s="2"/>
      <c r="F1475" t="s">
        <v>206</v>
      </c>
      <c r="G1475" t="s">
        <v>189</v>
      </c>
      <c r="H1475" t="s">
        <v>189</v>
      </c>
      <c r="I1475"/>
    </row>
    <row r="1476" spans="1:9">
      <c r="A1476" t="s">
        <v>1457</v>
      </c>
      <c r="B1476" s="1" t="str">
        <f>"20061616.2"</f>
        <v>20061616.2</v>
      </c>
      <c r="C1476" t="s">
        <v>393</v>
      </c>
      <c r="D1476" t="s">
        <v>1548</v>
      </c>
      <c r="E1476" s="2"/>
      <c r="F1476" t="s">
        <v>206</v>
      </c>
      <c r="G1476" t="s">
        <v>189</v>
      </c>
      <c r="H1476" t="s">
        <v>1453</v>
      </c>
      <c r="I1476"/>
    </row>
    <row r="1477" spans="1:9">
      <c r="A1477" t="s">
        <v>1457</v>
      </c>
      <c r="B1477" s="1" t="str">
        <f>"20035969"</f>
        <v>20035969</v>
      </c>
      <c r="C1477" t="s">
        <v>393</v>
      </c>
      <c r="D1477" t="s">
        <v>1549</v>
      </c>
      <c r="E1477" s="2"/>
      <c r="F1477" t="s">
        <v>27</v>
      </c>
      <c r="G1477" t="s">
        <v>120</v>
      </c>
      <c r="H1477" t="s">
        <v>120</v>
      </c>
      <c r="I1477"/>
    </row>
    <row r="1478" spans="1:9">
      <c r="A1478" t="s">
        <v>1457</v>
      </c>
      <c r="B1478" s="1" t="str">
        <f>"20035969.2"</f>
        <v>20035969.2</v>
      </c>
      <c r="C1478" t="s">
        <v>393</v>
      </c>
      <c r="D1478" t="s">
        <v>1549</v>
      </c>
      <c r="E1478" s="2"/>
      <c r="F1478" t="s">
        <v>27</v>
      </c>
      <c r="G1478" t="s">
        <v>120</v>
      </c>
      <c r="H1478" t="s">
        <v>1088</v>
      </c>
      <c r="I1478"/>
    </row>
    <row r="1479" spans="1:9">
      <c r="A1479" t="s">
        <v>1457</v>
      </c>
      <c r="B1479" s="1" t="str">
        <f>"20071462"</f>
        <v>20071462</v>
      </c>
      <c r="C1479" t="s">
        <v>393</v>
      </c>
      <c r="D1479" t="s">
        <v>1550</v>
      </c>
      <c r="E1479" s="2"/>
      <c r="F1479" t="s">
        <v>27</v>
      </c>
      <c r="G1479" t="s">
        <v>1551</v>
      </c>
      <c r="H1479" t="s">
        <v>1551</v>
      </c>
      <c r="I1479"/>
    </row>
    <row r="1480" spans="1:9">
      <c r="A1480" t="s">
        <v>1457</v>
      </c>
      <c r="B1480" s="1" t="str">
        <f>"20071462.2"</f>
        <v>20071462.2</v>
      </c>
      <c r="C1480" t="s">
        <v>393</v>
      </c>
      <c r="D1480" t="s">
        <v>1550</v>
      </c>
      <c r="E1480" s="2"/>
      <c r="F1480" t="s">
        <v>27</v>
      </c>
      <c r="G1480" t="s">
        <v>1551</v>
      </c>
      <c r="H1480" t="s">
        <v>1552</v>
      </c>
      <c r="I1480"/>
    </row>
    <row r="1481" spans="1:9">
      <c r="A1481" t="s">
        <v>1457</v>
      </c>
      <c r="B1481" s="1" t="str">
        <f>"20059439"</f>
        <v>20059439</v>
      </c>
      <c r="C1481" t="s">
        <v>393</v>
      </c>
      <c r="D1481" t="s">
        <v>1553</v>
      </c>
      <c r="E1481" s="2"/>
      <c r="F1481" t="s">
        <v>27</v>
      </c>
      <c r="G1481" t="s">
        <v>1551</v>
      </c>
      <c r="H1481" t="s">
        <v>1551</v>
      </c>
      <c r="I1481"/>
    </row>
    <row r="1482" spans="1:9">
      <c r="A1482" t="s">
        <v>1457</v>
      </c>
      <c r="B1482" s="1" t="str">
        <f>"20059439.2"</f>
        <v>20059439.2</v>
      </c>
      <c r="C1482" t="s">
        <v>393</v>
      </c>
      <c r="D1482" t="s">
        <v>1553</v>
      </c>
      <c r="E1482" s="2"/>
      <c r="F1482" t="s">
        <v>27</v>
      </c>
      <c r="G1482" t="s">
        <v>1551</v>
      </c>
      <c r="H1482" t="s">
        <v>1552</v>
      </c>
      <c r="I1482"/>
    </row>
    <row r="1483" spans="1:9">
      <c r="A1483" t="s">
        <v>1457</v>
      </c>
      <c r="B1483" s="1" t="str">
        <f>"20080266"</f>
        <v>20080266</v>
      </c>
      <c r="C1483" t="s">
        <v>393</v>
      </c>
      <c r="D1483" t="s">
        <v>1554</v>
      </c>
      <c r="E1483" s="2"/>
      <c r="F1483" t="s">
        <v>27</v>
      </c>
      <c r="G1483" t="s">
        <v>80</v>
      </c>
      <c r="H1483" t="s">
        <v>80</v>
      </c>
      <c r="I1483"/>
    </row>
    <row r="1484" spans="1:9">
      <c r="A1484" t="s">
        <v>1457</v>
      </c>
      <c r="B1484" s="1" t="str">
        <f>"20080266.2"</f>
        <v>20080266.2</v>
      </c>
      <c r="C1484" t="s">
        <v>393</v>
      </c>
      <c r="D1484" t="s">
        <v>1554</v>
      </c>
      <c r="E1484" s="2"/>
      <c r="F1484" t="s">
        <v>27</v>
      </c>
      <c r="G1484" t="s">
        <v>80</v>
      </c>
      <c r="H1484" t="s">
        <v>218</v>
      </c>
      <c r="I1484"/>
    </row>
    <row r="1485" spans="1:9">
      <c r="A1485" t="s">
        <v>1457</v>
      </c>
      <c r="B1485" s="1" t="str">
        <f>"20059507"</f>
        <v>20059507</v>
      </c>
      <c r="C1485" t="s">
        <v>393</v>
      </c>
      <c r="D1485" t="s">
        <v>1555</v>
      </c>
      <c r="E1485" s="2"/>
      <c r="F1485" t="s">
        <v>27</v>
      </c>
      <c r="G1485" t="s">
        <v>80</v>
      </c>
      <c r="H1485" t="s">
        <v>80</v>
      </c>
      <c r="I1485"/>
    </row>
    <row r="1486" spans="1:9">
      <c r="A1486" t="s">
        <v>1457</v>
      </c>
      <c r="B1486" s="1" t="str">
        <f>"20059507.2"</f>
        <v>20059507.2</v>
      </c>
      <c r="C1486" t="s">
        <v>393</v>
      </c>
      <c r="D1486" t="s">
        <v>1555</v>
      </c>
      <c r="E1486" s="2"/>
      <c r="F1486" t="s">
        <v>27</v>
      </c>
      <c r="G1486" t="s">
        <v>80</v>
      </c>
      <c r="H1486" t="s">
        <v>218</v>
      </c>
      <c r="I1486"/>
    </row>
    <row r="1487" spans="1:9">
      <c r="A1487" t="s">
        <v>1457</v>
      </c>
      <c r="B1487" s="1" t="str">
        <f>"20292393"</f>
        <v>20292393</v>
      </c>
      <c r="C1487" t="s">
        <v>393</v>
      </c>
      <c r="D1487" t="s">
        <v>1556</v>
      </c>
      <c r="E1487" s="2"/>
      <c r="F1487" t="s">
        <v>27</v>
      </c>
      <c r="G1487" t="s">
        <v>1551</v>
      </c>
      <c r="H1487" t="s">
        <v>1551</v>
      </c>
      <c r="I1487"/>
    </row>
    <row r="1488" spans="1:9">
      <c r="A1488" t="s">
        <v>1457</v>
      </c>
      <c r="B1488" s="1" t="str">
        <f>"20292393.2"</f>
        <v>20292393.2</v>
      </c>
      <c r="C1488" t="s">
        <v>393</v>
      </c>
      <c r="D1488" t="s">
        <v>1556</v>
      </c>
      <c r="E1488" s="2"/>
      <c r="F1488" t="s">
        <v>27</v>
      </c>
      <c r="G1488" t="s">
        <v>1551</v>
      </c>
      <c r="H1488" t="s">
        <v>1552</v>
      </c>
      <c r="I1488"/>
    </row>
    <row r="1489" spans="1:9">
      <c r="A1489" t="s">
        <v>1457</v>
      </c>
      <c r="B1489" s="1" t="str">
        <f>"20061746"</f>
        <v>20061746</v>
      </c>
      <c r="C1489" t="s">
        <v>393</v>
      </c>
      <c r="D1489" t="s">
        <v>1557</v>
      </c>
      <c r="E1489" s="2"/>
      <c r="F1489" t="s">
        <v>380</v>
      </c>
      <c r="G1489" t="s">
        <v>1456</v>
      </c>
      <c r="H1489" t="s">
        <v>1456</v>
      </c>
      <c r="I1489"/>
    </row>
    <row r="1490" spans="1:9">
      <c r="A1490" t="s">
        <v>1457</v>
      </c>
      <c r="B1490" s="1" t="str">
        <f>"20061746.2"</f>
        <v>20061746.2</v>
      </c>
      <c r="C1490" t="s">
        <v>393</v>
      </c>
      <c r="D1490" t="s">
        <v>1557</v>
      </c>
      <c r="E1490" s="2"/>
      <c r="F1490" t="s">
        <v>380</v>
      </c>
      <c r="G1490" t="s">
        <v>1456</v>
      </c>
      <c r="H1490" t="s">
        <v>1453</v>
      </c>
      <c r="I1490"/>
    </row>
    <row r="1491" spans="1:9">
      <c r="A1491" t="s">
        <v>1457</v>
      </c>
      <c r="B1491" s="1" t="str">
        <f>"20061968"</f>
        <v>20061968</v>
      </c>
      <c r="C1491" t="s">
        <v>393</v>
      </c>
      <c r="D1491" t="s">
        <v>1557</v>
      </c>
      <c r="E1491" s="2"/>
      <c r="F1491" t="s">
        <v>206</v>
      </c>
      <c r="G1491" t="s">
        <v>189</v>
      </c>
      <c r="H1491" t="s">
        <v>189</v>
      </c>
      <c r="I1491"/>
    </row>
    <row r="1492" spans="1:9">
      <c r="A1492" t="s">
        <v>1457</v>
      </c>
      <c r="B1492" s="1" t="str">
        <f>"20061968.2"</f>
        <v>20061968.2</v>
      </c>
      <c r="C1492" t="s">
        <v>393</v>
      </c>
      <c r="D1492" t="s">
        <v>1557</v>
      </c>
      <c r="E1492" s="2"/>
      <c r="F1492" t="s">
        <v>206</v>
      </c>
      <c r="G1492" t="s">
        <v>189</v>
      </c>
      <c r="H1492" t="s">
        <v>1453</v>
      </c>
      <c r="I1492"/>
    </row>
    <row r="1493" spans="1:9">
      <c r="A1493" t="s">
        <v>1457</v>
      </c>
      <c r="B1493" s="1" t="str">
        <f>"20061739"</f>
        <v>20061739</v>
      </c>
      <c r="C1493" t="s">
        <v>393</v>
      </c>
      <c r="D1493" t="s">
        <v>1558</v>
      </c>
      <c r="E1493" s="2"/>
      <c r="F1493" t="s">
        <v>380</v>
      </c>
      <c r="G1493" t="s">
        <v>1456</v>
      </c>
      <c r="H1493" t="s">
        <v>1456</v>
      </c>
      <c r="I1493"/>
    </row>
    <row r="1494" spans="1:9">
      <c r="A1494" t="s">
        <v>1457</v>
      </c>
      <c r="B1494" s="1" t="str">
        <f>"20061739.2"</f>
        <v>20061739.2</v>
      </c>
      <c r="C1494" t="s">
        <v>393</v>
      </c>
      <c r="D1494" t="s">
        <v>1558</v>
      </c>
      <c r="E1494" s="2"/>
      <c r="F1494" t="s">
        <v>380</v>
      </c>
      <c r="G1494" t="s">
        <v>1456</v>
      </c>
      <c r="H1494" t="s">
        <v>1453</v>
      </c>
      <c r="I1494"/>
    </row>
    <row r="1495" spans="1:9">
      <c r="A1495" t="s">
        <v>1457</v>
      </c>
      <c r="B1495" s="1" t="str">
        <f>"20893462"</f>
        <v>20893462</v>
      </c>
      <c r="C1495" t="s">
        <v>1559</v>
      </c>
      <c r="D1495" t="s">
        <v>1560</v>
      </c>
      <c r="E1495" s="2"/>
      <c r="F1495" t="s">
        <v>27</v>
      </c>
      <c r="G1495" t="s">
        <v>1126</v>
      </c>
      <c r="H1495" t="s">
        <v>1126</v>
      </c>
      <c r="I1495"/>
    </row>
    <row r="1496" spans="1:9">
      <c r="A1496" t="s">
        <v>1457</v>
      </c>
      <c r="B1496" s="1" t="str">
        <f>"20893462.2"</f>
        <v>20893462.2</v>
      </c>
      <c r="C1496" t="s">
        <v>1559</v>
      </c>
      <c r="D1496" t="s">
        <v>1560</v>
      </c>
      <c r="E1496" s="2"/>
      <c r="F1496" t="s">
        <v>27</v>
      </c>
      <c r="G1496" t="s">
        <v>1126</v>
      </c>
      <c r="H1496" t="s">
        <v>1088</v>
      </c>
      <c r="I1496"/>
    </row>
    <row r="1497" spans="1:9">
      <c r="A1497" t="s">
        <v>1561</v>
      </c>
      <c r="B1497" s="1" t="str">
        <f>"20151858"</f>
        <v>20151858</v>
      </c>
      <c r="C1497" t="s">
        <v>225</v>
      </c>
      <c r="D1497" t="s">
        <v>65</v>
      </c>
      <c r="E1497" s="2"/>
      <c r="F1497" t="s">
        <v>1562</v>
      </c>
      <c r="G1497" t="s">
        <v>29</v>
      </c>
      <c r="H1497" t="s">
        <v>29</v>
      </c>
      <c r="I1497"/>
    </row>
    <row r="1498" spans="1:9">
      <c r="A1498" t="s">
        <v>1561</v>
      </c>
      <c r="B1498" s="1" t="str">
        <f>"22459585"</f>
        <v>22459585</v>
      </c>
      <c r="C1498" t="s">
        <v>225</v>
      </c>
      <c r="D1498" t="s">
        <v>1563</v>
      </c>
      <c r="E1498" s="2"/>
      <c r="F1498" t="s">
        <v>66</v>
      </c>
      <c r="G1498" t="s">
        <v>29</v>
      </c>
      <c r="H1498" t="s">
        <v>29</v>
      </c>
      <c r="I1498"/>
    </row>
    <row r="1499" spans="1:9">
      <c r="A1499" t="s">
        <v>1561</v>
      </c>
      <c r="B1499" s="1" t="str">
        <f>"20060022"</f>
        <v>20060022</v>
      </c>
      <c r="C1499" t="s">
        <v>225</v>
      </c>
      <c r="D1499" t="s">
        <v>1564</v>
      </c>
      <c r="E1499" s="2"/>
      <c r="F1499" t="s">
        <v>66</v>
      </c>
      <c r="G1499" t="s">
        <v>120</v>
      </c>
      <c r="H1499" t="s">
        <v>120</v>
      </c>
      <c r="I1499"/>
    </row>
    <row r="1500" spans="1:9">
      <c r="A1500" t="s">
        <v>1561</v>
      </c>
      <c r="B1500" s="1" t="str">
        <f>"20084752"</f>
        <v>20084752</v>
      </c>
      <c r="C1500" t="s">
        <v>1495</v>
      </c>
      <c r="D1500" t="s">
        <v>1565</v>
      </c>
      <c r="E1500" s="2"/>
      <c r="F1500" t="s">
        <v>66</v>
      </c>
      <c r="G1500" t="s">
        <v>337</v>
      </c>
      <c r="H1500" t="s">
        <v>337</v>
      </c>
      <c r="I1500"/>
    </row>
    <row r="1501" spans="1:9">
      <c r="A1501" t="s">
        <v>1561</v>
      </c>
      <c r="B1501" s="1" t="str">
        <f>"20084752.2"</f>
        <v>20084752.2</v>
      </c>
      <c r="C1501" t="s">
        <v>1495</v>
      </c>
      <c r="D1501" t="s">
        <v>1565</v>
      </c>
      <c r="E1501" s="2"/>
      <c r="F1501" t="s">
        <v>66</v>
      </c>
      <c r="G1501" t="s">
        <v>337</v>
      </c>
      <c r="H1501" t="s">
        <v>332</v>
      </c>
      <c r="I1501"/>
    </row>
    <row r="1502" spans="1:9">
      <c r="A1502" t="s">
        <v>1561</v>
      </c>
      <c r="B1502" s="1" t="str">
        <f>"20919115"</f>
        <v>20919115</v>
      </c>
      <c r="C1502" t="s">
        <v>1495</v>
      </c>
      <c r="D1502" t="s">
        <v>1566</v>
      </c>
      <c r="E1502" s="2"/>
      <c r="F1502" t="s">
        <v>66</v>
      </c>
      <c r="G1502" t="s">
        <v>337</v>
      </c>
      <c r="H1502" t="s">
        <v>337</v>
      </c>
      <c r="I1502"/>
    </row>
    <row r="1503" spans="1:9">
      <c r="A1503" t="s">
        <v>1561</v>
      </c>
      <c r="B1503" s="1" t="str">
        <f>"20919115.2"</f>
        <v>20919115.2</v>
      </c>
      <c r="C1503" t="s">
        <v>1495</v>
      </c>
      <c r="D1503" t="s">
        <v>1566</v>
      </c>
      <c r="E1503" s="2"/>
      <c r="F1503" t="s">
        <v>66</v>
      </c>
      <c r="G1503" t="s">
        <v>337</v>
      </c>
      <c r="H1503" t="s">
        <v>332</v>
      </c>
      <c r="I1503"/>
    </row>
    <row r="1504" spans="1:9">
      <c r="A1504" t="s">
        <v>1561</v>
      </c>
      <c r="B1504" s="1" t="str">
        <f>"20051136"</f>
        <v>20051136</v>
      </c>
      <c r="C1504" t="s">
        <v>1495</v>
      </c>
      <c r="D1504" t="s">
        <v>1567</v>
      </c>
      <c r="E1504" s="2"/>
      <c r="F1504" t="s">
        <v>433</v>
      </c>
      <c r="G1504" t="s">
        <v>370</v>
      </c>
      <c r="H1504" t="s">
        <v>370</v>
      </c>
      <c r="I1504"/>
    </row>
    <row r="1505" spans="1:9">
      <c r="A1505" t="s">
        <v>1561</v>
      </c>
      <c r="B1505" s="1" t="str">
        <f>"20051136.2"</f>
        <v>20051136.2</v>
      </c>
      <c r="C1505" t="s">
        <v>1495</v>
      </c>
      <c r="D1505" t="s">
        <v>1567</v>
      </c>
      <c r="E1505" s="2"/>
      <c r="F1505" t="s">
        <v>433</v>
      </c>
      <c r="G1505" t="s">
        <v>370</v>
      </c>
      <c r="H1505" t="s">
        <v>332</v>
      </c>
      <c r="I1505"/>
    </row>
    <row r="1506" spans="1:9">
      <c r="A1506" t="s">
        <v>1561</v>
      </c>
      <c r="B1506" s="1" t="str">
        <f>"20578404"</f>
        <v>20578404</v>
      </c>
      <c r="C1506" t="s">
        <v>1495</v>
      </c>
      <c r="D1506" t="s">
        <v>1567</v>
      </c>
      <c r="E1506" s="2"/>
      <c r="F1506" t="s">
        <v>1461</v>
      </c>
      <c r="G1506" t="s">
        <v>29</v>
      </c>
      <c r="H1506" t="s">
        <v>29</v>
      </c>
      <c r="I1506"/>
    </row>
    <row r="1507" spans="1:9">
      <c r="A1507" t="s">
        <v>1561</v>
      </c>
      <c r="B1507" s="1" t="str">
        <f>"20578404.2"</f>
        <v>20578404.2</v>
      </c>
      <c r="C1507" t="s">
        <v>1495</v>
      </c>
      <c r="D1507" t="s">
        <v>1567</v>
      </c>
      <c r="E1507" s="2"/>
      <c r="F1507" t="s">
        <v>1461</v>
      </c>
      <c r="G1507" t="s">
        <v>29</v>
      </c>
      <c r="H1507" t="s">
        <v>332</v>
      </c>
      <c r="I1507"/>
    </row>
    <row r="1508" spans="1:9">
      <c r="A1508" t="s">
        <v>1561</v>
      </c>
      <c r="B1508" s="1" t="str">
        <f>"20919116"</f>
        <v>20919116</v>
      </c>
      <c r="C1508" t="s">
        <v>1495</v>
      </c>
      <c r="D1508" t="s">
        <v>1568</v>
      </c>
      <c r="E1508" s="2"/>
      <c r="F1508" t="s">
        <v>66</v>
      </c>
      <c r="G1508" t="s">
        <v>337</v>
      </c>
      <c r="H1508" t="s">
        <v>337</v>
      </c>
      <c r="I1508"/>
    </row>
    <row r="1509" spans="1:9">
      <c r="A1509" t="s">
        <v>1561</v>
      </c>
      <c r="B1509" s="1" t="str">
        <f>"20919116.2"</f>
        <v>20919116.2</v>
      </c>
      <c r="C1509" t="s">
        <v>1495</v>
      </c>
      <c r="D1509" t="s">
        <v>1568</v>
      </c>
      <c r="E1509" s="2"/>
      <c r="F1509" t="s">
        <v>66</v>
      </c>
      <c r="G1509" t="s">
        <v>337</v>
      </c>
      <c r="H1509" t="s">
        <v>332</v>
      </c>
      <c r="I1509"/>
    </row>
    <row r="1510" spans="1:9">
      <c r="A1510" t="s">
        <v>1561</v>
      </c>
      <c r="B1510" s="1" t="str">
        <f>"20228613"</f>
        <v>20228613</v>
      </c>
      <c r="C1510" t="s">
        <v>1569</v>
      </c>
      <c r="D1510" t="s">
        <v>1570</v>
      </c>
      <c r="E1510" s="2"/>
      <c r="F1510" t="s">
        <v>1461</v>
      </c>
      <c r="G1510" t="s">
        <v>29</v>
      </c>
      <c r="H1510" t="s">
        <v>29</v>
      </c>
      <c r="I1510"/>
    </row>
    <row r="1511" spans="1:9">
      <c r="A1511" t="s">
        <v>1561</v>
      </c>
      <c r="B1511" s="1" t="str">
        <f>"20228613.2"</f>
        <v>20228613.2</v>
      </c>
      <c r="C1511" t="s">
        <v>1569</v>
      </c>
      <c r="D1511" t="s">
        <v>1570</v>
      </c>
      <c r="E1511" s="2"/>
      <c r="F1511" t="s">
        <v>1461</v>
      </c>
      <c r="G1511" t="s">
        <v>29</v>
      </c>
      <c r="H1511" t="s">
        <v>332</v>
      </c>
      <c r="I1511"/>
    </row>
    <row r="1512" spans="1:9">
      <c r="A1512" t="s">
        <v>1561</v>
      </c>
      <c r="B1512" s="1" t="str">
        <f>"20058044"</f>
        <v>20058044</v>
      </c>
      <c r="C1512" t="s">
        <v>1569</v>
      </c>
      <c r="D1512" t="s">
        <v>1571</v>
      </c>
      <c r="E1512" s="2"/>
      <c r="F1512" t="s">
        <v>433</v>
      </c>
      <c r="G1512" t="s">
        <v>29</v>
      </c>
      <c r="H1512" t="s">
        <v>29</v>
      </c>
      <c r="I1512"/>
    </row>
    <row r="1513" spans="1:9">
      <c r="A1513" t="s">
        <v>1561</v>
      </c>
      <c r="B1513" s="1" t="str">
        <f>"20058044.2"</f>
        <v>20058044.2</v>
      </c>
      <c r="C1513" t="s">
        <v>1569</v>
      </c>
      <c r="D1513" t="s">
        <v>1571</v>
      </c>
      <c r="E1513" s="2"/>
      <c r="F1513" t="s">
        <v>433</v>
      </c>
      <c r="G1513" t="s">
        <v>29</v>
      </c>
      <c r="H1513" t="s">
        <v>332</v>
      </c>
      <c r="I1513"/>
    </row>
    <row r="1514" spans="1:9">
      <c r="A1514" t="s">
        <v>1561</v>
      </c>
      <c r="B1514" s="1" t="str">
        <f>"20058043"</f>
        <v>20058043</v>
      </c>
      <c r="C1514" t="s">
        <v>1569</v>
      </c>
      <c r="D1514" t="s">
        <v>1572</v>
      </c>
      <c r="E1514" s="2"/>
      <c r="F1514" t="s">
        <v>433</v>
      </c>
      <c r="G1514" t="s">
        <v>29</v>
      </c>
      <c r="H1514" t="s">
        <v>29</v>
      </c>
      <c r="I1514"/>
    </row>
    <row r="1515" spans="1:9">
      <c r="A1515" t="s">
        <v>1561</v>
      </c>
      <c r="B1515" s="1" t="str">
        <f>"20058043.2"</f>
        <v>20058043.2</v>
      </c>
      <c r="C1515" t="s">
        <v>1569</v>
      </c>
      <c r="D1515" t="s">
        <v>1572</v>
      </c>
      <c r="E1515" s="2"/>
      <c r="F1515" t="s">
        <v>433</v>
      </c>
      <c r="G1515" t="s">
        <v>29</v>
      </c>
      <c r="H1515" t="s">
        <v>332</v>
      </c>
      <c r="I1515"/>
    </row>
    <row r="1516" spans="1:9">
      <c r="A1516" t="s">
        <v>1561</v>
      </c>
      <c r="B1516" s="1" t="str">
        <f>"20030384"</f>
        <v>20030384</v>
      </c>
      <c r="C1516" t="s">
        <v>1569</v>
      </c>
      <c r="D1516" t="s">
        <v>1573</v>
      </c>
      <c r="E1516" s="2"/>
      <c r="F1516" t="s">
        <v>433</v>
      </c>
      <c r="G1516" t="s">
        <v>29</v>
      </c>
      <c r="H1516" t="s">
        <v>29</v>
      </c>
      <c r="I1516"/>
    </row>
    <row r="1517" spans="1:9">
      <c r="A1517" t="s">
        <v>1561</v>
      </c>
      <c r="B1517" s="1" t="str">
        <f>"20030384.2"</f>
        <v>20030384.2</v>
      </c>
      <c r="C1517" t="s">
        <v>1569</v>
      </c>
      <c r="D1517" t="s">
        <v>1573</v>
      </c>
      <c r="E1517" s="2"/>
      <c r="F1517" t="s">
        <v>433</v>
      </c>
      <c r="G1517" t="s">
        <v>29</v>
      </c>
      <c r="H1517" t="s">
        <v>332</v>
      </c>
      <c r="I1517"/>
    </row>
    <row r="1518" spans="1:9">
      <c r="A1518" t="s">
        <v>1561</v>
      </c>
      <c r="B1518" s="1" t="str">
        <f>"20024273"</f>
        <v>20024273</v>
      </c>
      <c r="C1518" t="s">
        <v>1569</v>
      </c>
      <c r="D1518" t="s">
        <v>1574</v>
      </c>
      <c r="E1518" s="2"/>
      <c r="F1518" t="s">
        <v>433</v>
      </c>
      <c r="G1518" t="s">
        <v>29</v>
      </c>
      <c r="H1518" t="s">
        <v>29</v>
      </c>
      <c r="I1518"/>
    </row>
    <row r="1519" spans="1:9">
      <c r="A1519" t="s">
        <v>1561</v>
      </c>
      <c r="B1519" s="1" t="str">
        <f>"20024273.2"</f>
        <v>20024273.2</v>
      </c>
      <c r="C1519" t="s">
        <v>1569</v>
      </c>
      <c r="D1519" t="s">
        <v>1574</v>
      </c>
      <c r="E1519" s="2"/>
      <c r="F1519" t="s">
        <v>433</v>
      </c>
      <c r="G1519" t="s">
        <v>29</v>
      </c>
      <c r="H1519" t="s">
        <v>332</v>
      </c>
      <c r="I1519"/>
    </row>
    <row r="1520" spans="1:9">
      <c r="A1520" t="s">
        <v>1561</v>
      </c>
      <c r="B1520" s="1" t="str">
        <f>"20063788"</f>
        <v>20063788</v>
      </c>
      <c r="C1520" t="s">
        <v>1445</v>
      </c>
      <c r="D1520" t="s">
        <v>1446</v>
      </c>
      <c r="E1520" s="2">
        <v>0.32</v>
      </c>
      <c r="F1520" t="s">
        <v>27</v>
      </c>
      <c r="G1520" t="s">
        <v>120</v>
      </c>
      <c r="H1520" t="s">
        <v>120</v>
      </c>
      <c r="I1520"/>
    </row>
    <row r="1521" spans="1:9">
      <c r="A1521" t="s">
        <v>1561</v>
      </c>
      <c r="B1521" s="1" t="str">
        <f>"20063788.2"</f>
        <v>20063788.2</v>
      </c>
      <c r="C1521" t="s">
        <v>1445</v>
      </c>
      <c r="D1521" t="s">
        <v>1446</v>
      </c>
      <c r="E1521" s="2">
        <v>0.32</v>
      </c>
      <c r="F1521" t="s">
        <v>27</v>
      </c>
      <c r="G1521" t="s">
        <v>120</v>
      </c>
      <c r="H1521" t="s">
        <v>1088</v>
      </c>
      <c r="I1521"/>
    </row>
    <row r="1522" spans="1:9">
      <c r="A1522" t="s">
        <v>1561</v>
      </c>
      <c r="B1522" s="1" t="str">
        <f>"20150075"</f>
        <v>20150075</v>
      </c>
      <c r="C1522" t="s">
        <v>1445</v>
      </c>
      <c r="D1522" t="s">
        <v>1447</v>
      </c>
      <c r="E1522" s="2">
        <v>0.15</v>
      </c>
      <c r="F1522" t="s">
        <v>27</v>
      </c>
      <c r="G1522" t="s">
        <v>120</v>
      </c>
      <c r="H1522" t="s">
        <v>120</v>
      </c>
      <c r="I1522"/>
    </row>
    <row r="1523" spans="1:9">
      <c r="A1523" t="s">
        <v>1561</v>
      </c>
      <c r="B1523" s="1" t="str">
        <f>"20150075.2"</f>
        <v>20150075.2</v>
      </c>
      <c r="C1523" t="s">
        <v>1445</v>
      </c>
      <c r="D1523" t="s">
        <v>1447</v>
      </c>
      <c r="E1523" s="2">
        <v>0.15</v>
      </c>
      <c r="F1523" t="s">
        <v>27</v>
      </c>
      <c r="G1523" t="s">
        <v>120</v>
      </c>
      <c r="H1523" t="s">
        <v>1088</v>
      </c>
      <c r="I1523"/>
    </row>
    <row r="1524" spans="1:9">
      <c r="A1524" t="s">
        <v>1561</v>
      </c>
      <c r="B1524" s="1" t="str">
        <f>"20064242"</f>
        <v>20064242</v>
      </c>
      <c r="C1524" t="s">
        <v>1445</v>
      </c>
      <c r="D1524" t="s">
        <v>1567</v>
      </c>
      <c r="E1524" s="2"/>
      <c r="F1524" t="s">
        <v>1575</v>
      </c>
      <c r="G1524" t="s">
        <v>29</v>
      </c>
      <c r="H1524" t="s">
        <v>29</v>
      </c>
      <c r="I1524"/>
    </row>
    <row r="1525" spans="1:9">
      <c r="A1525" t="s">
        <v>1561</v>
      </c>
      <c r="B1525" s="1" t="str">
        <f>"20061760"</f>
        <v>20061760</v>
      </c>
      <c r="C1525" t="s">
        <v>393</v>
      </c>
      <c r="D1525" t="s">
        <v>1448</v>
      </c>
      <c r="E1525" s="2"/>
      <c r="F1525" t="s">
        <v>380</v>
      </c>
      <c r="G1525" t="s">
        <v>1456</v>
      </c>
      <c r="H1525" t="s">
        <v>1456</v>
      </c>
      <c r="I1525"/>
    </row>
    <row r="1526" spans="1:9">
      <c r="A1526" t="s">
        <v>1561</v>
      </c>
      <c r="B1526" s="1" t="str">
        <f>"20061760.2"</f>
        <v>20061760.2</v>
      </c>
      <c r="C1526" t="s">
        <v>393</v>
      </c>
      <c r="D1526" t="s">
        <v>1448</v>
      </c>
      <c r="E1526" s="2"/>
      <c r="F1526" t="s">
        <v>380</v>
      </c>
      <c r="G1526" t="s">
        <v>1456</v>
      </c>
      <c r="H1526" t="s">
        <v>1453</v>
      </c>
      <c r="I1526"/>
    </row>
    <row r="1527" spans="1:9">
      <c r="A1527" t="s">
        <v>1561</v>
      </c>
      <c r="B1527" s="1" t="str">
        <f>"20061951"</f>
        <v>20061951</v>
      </c>
      <c r="C1527" t="s">
        <v>393</v>
      </c>
      <c r="D1527" t="s">
        <v>1448</v>
      </c>
      <c r="E1527" s="2"/>
      <c r="F1527" t="s">
        <v>206</v>
      </c>
      <c r="G1527" t="s">
        <v>189</v>
      </c>
      <c r="H1527" t="s">
        <v>189</v>
      </c>
      <c r="I1527"/>
    </row>
    <row r="1528" spans="1:9">
      <c r="A1528" t="s">
        <v>1561</v>
      </c>
      <c r="B1528" s="1" t="str">
        <f>"20061951.2"</f>
        <v>20061951.2</v>
      </c>
      <c r="C1528" t="s">
        <v>393</v>
      </c>
      <c r="D1528" t="s">
        <v>1448</v>
      </c>
      <c r="E1528" s="2"/>
      <c r="F1528" t="s">
        <v>206</v>
      </c>
      <c r="G1528" t="s">
        <v>189</v>
      </c>
      <c r="H1528" t="s">
        <v>1453</v>
      </c>
      <c r="I1528"/>
    </row>
    <row r="1529" spans="1:9">
      <c r="A1529" t="s">
        <v>1561</v>
      </c>
      <c r="B1529" s="1" t="str">
        <f>"20061999"</f>
        <v>20061999</v>
      </c>
      <c r="C1529" t="s">
        <v>393</v>
      </c>
      <c r="D1529" t="s">
        <v>1448</v>
      </c>
      <c r="E1529" s="2"/>
      <c r="F1529" t="s">
        <v>27</v>
      </c>
      <c r="G1529" t="s">
        <v>120</v>
      </c>
      <c r="H1529" t="s">
        <v>120</v>
      </c>
      <c r="I1529"/>
    </row>
    <row r="1530" spans="1:9">
      <c r="A1530" t="s">
        <v>1561</v>
      </c>
      <c r="B1530" s="1" t="str">
        <f>"20061999.2"</f>
        <v>20061999.2</v>
      </c>
      <c r="C1530" t="s">
        <v>393</v>
      </c>
      <c r="D1530" t="s">
        <v>1448</v>
      </c>
      <c r="E1530" s="2"/>
      <c r="F1530" t="s">
        <v>27</v>
      </c>
      <c r="G1530" t="s">
        <v>120</v>
      </c>
      <c r="H1530" t="s">
        <v>1088</v>
      </c>
      <c r="I1530"/>
    </row>
    <row r="1531" spans="1:9">
      <c r="A1531" t="s">
        <v>1561</v>
      </c>
      <c r="B1531" s="1" t="str">
        <f>"20200886"</f>
        <v>20200886</v>
      </c>
      <c r="C1531" t="s">
        <v>393</v>
      </c>
      <c r="D1531" t="s">
        <v>1576</v>
      </c>
      <c r="E1531" s="2"/>
      <c r="F1531" t="s">
        <v>206</v>
      </c>
      <c r="G1531" t="s">
        <v>189</v>
      </c>
      <c r="H1531" t="s">
        <v>189</v>
      </c>
      <c r="I1531"/>
    </row>
    <row r="1532" spans="1:9">
      <c r="A1532" t="s">
        <v>1561</v>
      </c>
      <c r="B1532" s="1" t="str">
        <f>"20200886.2"</f>
        <v>20200886.2</v>
      </c>
      <c r="C1532" t="s">
        <v>393</v>
      </c>
      <c r="D1532" t="s">
        <v>1576</v>
      </c>
      <c r="E1532" s="2"/>
      <c r="F1532" t="s">
        <v>206</v>
      </c>
      <c r="G1532" t="s">
        <v>189</v>
      </c>
      <c r="H1532" t="s">
        <v>1453</v>
      </c>
      <c r="I1532"/>
    </row>
    <row r="1533" spans="1:9">
      <c r="A1533" t="s">
        <v>1561</v>
      </c>
      <c r="B1533" s="1" t="str">
        <f>"20061845"</f>
        <v>20061845</v>
      </c>
      <c r="C1533" t="s">
        <v>393</v>
      </c>
      <c r="D1533" t="s">
        <v>1577</v>
      </c>
      <c r="E1533" s="2">
        <v>0.5</v>
      </c>
      <c r="F1533" t="s">
        <v>27</v>
      </c>
      <c r="G1533" t="s">
        <v>120</v>
      </c>
      <c r="H1533" t="s">
        <v>120</v>
      </c>
      <c r="I1533"/>
    </row>
    <row r="1534" spans="1:9">
      <c r="A1534" t="s">
        <v>1561</v>
      </c>
      <c r="B1534" s="1" t="str">
        <f>"20061845.2"</f>
        <v>20061845.2</v>
      </c>
      <c r="C1534" t="s">
        <v>393</v>
      </c>
      <c r="D1534" t="s">
        <v>1577</v>
      </c>
      <c r="E1534" s="2">
        <v>0.5</v>
      </c>
      <c r="F1534" t="s">
        <v>27</v>
      </c>
      <c r="G1534" t="s">
        <v>120</v>
      </c>
      <c r="H1534" t="s">
        <v>1088</v>
      </c>
      <c r="I1534"/>
    </row>
    <row r="1535" spans="1:9">
      <c r="A1535" t="s">
        <v>1561</v>
      </c>
      <c r="B1535" s="1" t="str">
        <f>"20061869"</f>
        <v>20061869</v>
      </c>
      <c r="C1535" t="s">
        <v>393</v>
      </c>
      <c r="D1535" t="s">
        <v>1577</v>
      </c>
      <c r="E1535" s="2">
        <v>0.5</v>
      </c>
      <c r="F1535" t="s">
        <v>66</v>
      </c>
      <c r="G1535" t="s">
        <v>37</v>
      </c>
      <c r="H1535" t="s">
        <v>37</v>
      </c>
      <c r="I1535"/>
    </row>
    <row r="1536" spans="1:9">
      <c r="A1536" t="s">
        <v>1561</v>
      </c>
      <c r="B1536" s="1" t="str">
        <f>"20061869.2"</f>
        <v>20061869.2</v>
      </c>
      <c r="C1536" t="s">
        <v>393</v>
      </c>
      <c r="D1536" t="s">
        <v>1577</v>
      </c>
      <c r="E1536" s="2">
        <v>0.5</v>
      </c>
      <c r="F1536" t="s">
        <v>66</v>
      </c>
      <c r="G1536" t="s">
        <v>37</v>
      </c>
      <c r="H1536" t="s">
        <v>1088</v>
      </c>
      <c r="I1536"/>
    </row>
    <row r="1537" spans="1:9">
      <c r="A1537" t="s">
        <v>1561</v>
      </c>
      <c r="B1537" s="1" t="str">
        <f>"20018926"</f>
        <v>20018926</v>
      </c>
      <c r="C1537" t="s">
        <v>1578</v>
      </c>
      <c r="D1537" t="s">
        <v>1567</v>
      </c>
      <c r="E1537" s="2"/>
      <c r="F1537" t="s">
        <v>1444</v>
      </c>
      <c r="G1537" t="s">
        <v>29</v>
      </c>
      <c r="H1537" t="s">
        <v>29</v>
      </c>
      <c r="I1537"/>
    </row>
    <row r="1538" spans="1:9">
      <c r="A1538" t="s">
        <v>1561</v>
      </c>
      <c r="B1538" s="1" t="str">
        <f>"20018926.2"</f>
        <v>20018926.2</v>
      </c>
      <c r="C1538" t="s">
        <v>1578</v>
      </c>
      <c r="D1538" t="s">
        <v>1567</v>
      </c>
      <c r="E1538" s="2"/>
      <c r="F1538" t="s">
        <v>1444</v>
      </c>
      <c r="G1538" t="s">
        <v>29</v>
      </c>
      <c r="H1538" t="s">
        <v>332</v>
      </c>
      <c r="I1538"/>
    </row>
    <row r="1539" spans="1:9">
      <c r="A1539" t="s">
        <v>1561</v>
      </c>
      <c r="B1539" s="1" t="str">
        <f>"20045661"</f>
        <v>20045661</v>
      </c>
      <c r="C1539" t="s">
        <v>1579</v>
      </c>
      <c r="D1539" t="s">
        <v>1580</v>
      </c>
      <c r="E1539" s="2"/>
      <c r="F1539" t="s">
        <v>433</v>
      </c>
      <c r="G1539" t="s">
        <v>29</v>
      </c>
      <c r="H1539" t="s">
        <v>29</v>
      </c>
      <c r="I1539"/>
    </row>
    <row r="1540" spans="1:9">
      <c r="A1540" t="s">
        <v>1561</v>
      </c>
      <c r="B1540" s="1" t="str">
        <f>"20045661.2"</f>
        <v>20045661.2</v>
      </c>
      <c r="C1540" t="s">
        <v>1579</v>
      </c>
      <c r="D1540" t="s">
        <v>1580</v>
      </c>
      <c r="E1540" s="2"/>
      <c r="F1540" t="s">
        <v>433</v>
      </c>
      <c r="G1540" t="s">
        <v>29</v>
      </c>
      <c r="H1540" t="s">
        <v>332</v>
      </c>
      <c r="I1540"/>
    </row>
    <row r="1541" spans="1:9">
      <c r="A1541" t="s">
        <v>1581</v>
      </c>
      <c r="B1541" s="1" t="str">
        <f>"22459608"</f>
        <v>22459608</v>
      </c>
      <c r="C1541" t="s">
        <v>225</v>
      </c>
      <c r="D1541" t="s">
        <v>1582</v>
      </c>
      <c r="E1541" s="2"/>
      <c r="F1541" t="s">
        <v>66</v>
      </c>
      <c r="G1541" t="s">
        <v>29</v>
      </c>
      <c r="H1541" t="s">
        <v>29</v>
      </c>
      <c r="I1541"/>
    </row>
    <row r="1542" spans="1:9">
      <c r="A1542" t="s">
        <v>1581</v>
      </c>
      <c r="B1542" s="1" t="str">
        <f>"20065508"</f>
        <v>20065508</v>
      </c>
      <c r="C1542" t="s">
        <v>343</v>
      </c>
      <c r="D1542" t="s">
        <v>1583</v>
      </c>
      <c r="E1542" s="2"/>
      <c r="F1542" t="s">
        <v>27</v>
      </c>
      <c r="G1542" t="s">
        <v>37</v>
      </c>
      <c r="H1542" t="s">
        <v>37</v>
      </c>
      <c r="I1542"/>
    </row>
    <row r="1543" spans="1:9">
      <c r="A1543" t="s">
        <v>1581</v>
      </c>
      <c r="B1543" s="1" t="str">
        <f>"20167790"</f>
        <v>20167790</v>
      </c>
      <c r="C1543" t="s">
        <v>1584</v>
      </c>
      <c r="D1543" t="s">
        <v>1585</v>
      </c>
      <c r="E1543" s="2"/>
      <c r="F1543" t="s">
        <v>1586</v>
      </c>
      <c r="G1543" t="s">
        <v>370</v>
      </c>
      <c r="H1543" t="s">
        <v>370</v>
      </c>
      <c r="I1543"/>
    </row>
    <row r="1544" spans="1:9">
      <c r="A1544" t="s">
        <v>1581</v>
      </c>
      <c r="B1544" s="1" t="str">
        <f>"20167790.2"</f>
        <v>20167790.2</v>
      </c>
      <c r="C1544" t="s">
        <v>1584</v>
      </c>
      <c r="D1544" t="s">
        <v>1585</v>
      </c>
      <c r="E1544" s="2"/>
      <c r="F1544" t="s">
        <v>1586</v>
      </c>
      <c r="G1544" t="s">
        <v>370</v>
      </c>
      <c r="H1544" t="s">
        <v>332</v>
      </c>
      <c r="I1544"/>
    </row>
    <row r="1545" spans="1:9">
      <c r="A1545" t="s">
        <v>1581</v>
      </c>
      <c r="B1545" s="1" t="str">
        <f>"20041939"</f>
        <v>20041939</v>
      </c>
      <c r="C1545" t="s">
        <v>393</v>
      </c>
      <c r="D1545" t="s">
        <v>1587</v>
      </c>
      <c r="E1545" s="2"/>
      <c r="F1545" t="s">
        <v>27</v>
      </c>
      <c r="G1545"/>
      <c r="H1545" t="s">
        <v>37</v>
      </c>
      <c r="I1545"/>
    </row>
    <row r="1546" spans="1:9">
      <c r="A1546" t="s">
        <v>1581</v>
      </c>
      <c r="B1546" s="1" t="str">
        <f>"20510312"</f>
        <v>20510312</v>
      </c>
      <c r="C1546" t="s">
        <v>393</v>
      </c>
      <c r="D1546" t="s">
        <v>1587</v>
      </c>
      <c r="E1546" s="2"/>
      <c r="F1546" t="s">
        <v>206</v>
      </c>
      <c r="G1546" t="s">
        <v>189</v>
      </c>
      <c r="H1546" t="s">
        <v>189</v>
      </c>
      <c r="I1546"/>
    </row>
    <row r="1547" spans="1:9">
      <c r="A1547" t="s">
        <v>1581</v>
      </c>
      <c r="B1547" s="1" t="str">
        <f>"20510312.2"</f>
        <v>20510312.2</v>
      </c>
      <c r="C1547" t="s">
        <v>393</v>
      </c>
      <c r="D1547" t="s">
        <v>1587</v>
      </c>
      <c r="E1547" s="2"/>
      <c r="F1547" t="s">
        <v>206</v>
      </c>
      <c r="G1547" t="s">
        <v>189</v>
      </c>
      <c r="H1547" t="s">
        <v>1453</v>
      </c>
      <c r="I1547"/>
    </row>
    <row r="1548" spans="1:9">
      <c r="A1548" t="s">
        <v>1581</v>
      </c>
      <c r="B1548" s="1" t="str">
        <f>"20044558"</f>
        <v>20044558</v>
      </c>
      <c r="C1548" t="s">
        <v>393</v>
      </c>
      <c r="D1548" t="s">
        <v>1583</v>
      </c>
      <c r="E1548" s="2"/>
      <c r="F1548" t="s">
        <v>206</v>
      </c>
      <c r="G1548" t="s">
        <v>189</v>
      </c>
      <c r="H1548" t="s">
        <v>189</v>
      </c>
      <c r="I1548"/>
    </row>
    <row r="1549" spans="1:9">
      <c r="A1549" t="s">
        <v>1581</v>
      </c>
      <c r="B1549" s="1" t="str">
        <f>"20044558.2"</f>
        <v>20044558.2</v>
      </c>
      <c r="C1549" t="s">
        <v>393</v>
      </c>
      <c r="D1549" t="s">
        <v>1583</v>
      </c>
      <c r="E1549" s="2"/>
      <c r="F1549" t="s">
        <v>206</v>
      </c>
      <c r="G1549" t="s">
        <v>189</v>
      </c>
      <c r="H1549" t="s">
        <v>1453</v>
      </c>
      <c r="I1549"/>
    </row>
    <row r="1550" spans="1:9">
      <c r="A1550" t="s">
        <v>1581</v>
      </c>
      <c r="B1550" s="1" t="str">
        <f>"20061944"</f>
        <v>20061944</v>
      </c>
      <c r="C1550" t="s">
        <v>393</v>
      </c>
      <c r="D1550" t="s">
        <v>1583</v>
      </c>
      <c r="E1550" s="2"/>
      <c r="F1550" t="s">
        <v>380</v>
      </c>
      <c r="G1550" t="s">
        <v>1456</v>
      </c>
      <c r="H1550" t="s">
        <v>1456</v>
      </c>
      <c r="I1550"/>
    </row>
    <row r="1551" spans="1:9">
      <c r="A1551" t="s">
        <v>1581</v>
      </c>
      <c r="B1551" s="1" t="str">
        <f>"20061944.2"</f>
        <v>20061944.2</v>
      </c>
      <c r="C1551" t="s">
        <v>393</v>
      </c>
      <c r="D1551" t="s">
        <v>1583</v>
      </c>
      <c r="E1551" s="2"/>
      <c r="F1551" t="s">
        <v>380</v>
      </c>
      <c r="G1551" t="s">
        <v>1456</v>
      </c>
      <c r="H1551" t="s">
        <v>1453</v>
      </c>
      <c r="I1551"/>
    </row>
    <row r="1552" spans="1:9">
      <c r="A1552" t="s">
        <v>1581</v>
      </c>
      <c r="B1552" s="1" t="str">
        <f>"20062040"</f>
        <v>20062040</v>
      </c>
      <c r="C1552" t="s">
        <v>393</v>
      </c>
      <c r="D1552" t="s">
        <v>1583</v>
      </c>
      <c r="E1552" s="2"/>
      <c r="F1552" t="s">
        <v>27</v>
      </c>
      <c r="G1552" t="s">
        <v>37</v>
      </c>
      <c r="H1552" t="s">
        <v>37</v>
      </c>
      <c r="I1552"/>
    </row>
    <row r="1553" spans="1:9">
      <c r="A1553" t="s">
        <v>1588</v>
      </c>
      <c r="B1553" s="1" t="str">
        <f>"20023349"</f>
        <v>20023349</v>
      </c>
      <c r="C1553" t="s">
        <v>260</v>
      </c>
      <c r="D1553" t="s">
        <v>1589</v>
      </c>
      <c r="E1553" s="2"/>
      <c r="F1553" t="s">
        <v>1590</v>
      </c>
      <c r="G1553"/>
      <c r="H1553" t="s">
        <v>120</v>
      </c>
      <c r="I1553"/>
    </row>
    <row r="1554" spans="1:9">
      <c r="A1554" t="s">
        <v>1588</v>
      </c>
      <c r="B1554" s="1" t="str">
        <f>"20023350"</f>
        <v>20023350</v>
      </c>
      <c r="C1554" t="s">
        <v>260</v>
      </c>
      <c r="D1554" t="s">
        <v>1591</v>
      </c>
      <c r="E1554" s="2"/>
      <c r="F1554" t="s">
        <v>1592</v>
      </c>
      <c r="G1554"/>
      <c r="H1554" t="s">
        <v>1593</v>
      </c>
      <c r="I1554"/>
    </row>
    <row r="1555" spans="1:9">
      <c r="A1555" t="s">
        <v>1594</v>
      </c>
      <c r="B1555" s="1" t="str">
        <f>"20190021"</f>
        <v>20190021</v>
      </c>
      <c r="C1555" t="s">
        <v>209</v>
      </c>
      <c r="D1555" t="s">
        <v>1595</v>
      </c>
      <c r="E1555" s="2"/>
      <c r="F1555" t="s">
        <v>46</v>
      </c>
      <c r="G1555" t="s">
        <v>54</v>
      </c>
      <c r="H1555" t="s">
        <v>262</v>
      </c>
      <c r="I1555"/>
    </row>
    <row r="1556" spans="1:9">
      <c r="A1556" t="s">
        <v>1594</v>
      </c>
      <c r="B1556" s="1" t="str">
        <f>"20190020"</f>
        <v>20190020</v>
      </c>
      <c r="C1556" t="s">
        <v>1596</v>
      </c>
      <c r="D1556" t="s">
        <v>1597</v>
      </c>
      <c r="E1556" s="2"/>
      <c r="F1556" t="s">
        <v>46</v>
      </c>
      <c r="G1556" t="s">
        <v>54</v>
      </c>
      <c r="H1556" t="s">
        <v>54</v>
      </c>
      <c r="I1556"/>
    </row>
    <row r="1557" spans="1:9">
      <c r="A1557" t="s">
        <v>1594</v>
      </c>
      <c r="B1557" s="1" t="str">
        <f>"20012002"</f>
        <v>20012002</v>
      </c>
      <c r="C1557" t="s">
        <v>1598</v>
      </c>
      <c r="D1557" t="s">
        <v>1599</v>
      </c>
      <c r="E1557" s="2"/>
      <c r="F1557" t="s">
        <v>246</v>
      </c>
      <c r="G1557" t="s">
        <v>37</v>
      </c>
      <c r="H1557" t="s">
        <v>37</v>
      </c>
      <c r="I1557"/>
    </row>
    <row r="1558" spans="1:9">
      <c r="A1558" t="s">
        <v>1594</v>
      </c>
      <c r="B1558" s="1" t="str">
        <f>"20012003"</f>
        <v>20012003</v>
      </c>
      <c r="C1558" t="s">
        <v>1598</v>
      </c>
      <c r="D1558" t="s">
        <v>1600</v>
      </c>
      <c r="E1558" s="2"/>
      <c r="F1558" t="s">
        <v>246</v>
      </c>
      <c r="G1558" t="s">
        <v>37</v>
      </c>
      <c r="H1558" t="s">
        <v>37</v>
      </c>
      <c r="I1558"/>
    </row>
    <row r="1559" spans="1:9">
      <c r="A1559" t="s">
        <v>1594</v>
      </c>
      <c r="B1559" s="1" t="str">
        <f>"20012004"</f>
        <v>20012004</v>
      </c>
      <c r="C1559" t="s">
        <v>1598</v>
      </c>
      <c r="D1559" t="s">
        <v>1601</v>
      </c>
      <c r="E1559" s="2"/>
      <c r="F1559" t="s">
        <v>246</v>
      </c>
      <c r="G1559" t="s">
        <v>37</v>
      </c>
      <c r="H1559" t="s">
        <v>37</v>
      </c>
      <c r="I1559"/>
    </row>
    <row r="1560" spans="1:9">
      <c r="A1560" t="s">
        <v>1594</v>
      </c>
      <c r="B1560" s="1" t="str">
        <f>"20012000"</f>
        <v>20012000</v>
      </c>
      <c r="C1560" t="s">
        <v>1598</v>
      </c>
      <c r="D1560" t="s">
        <v>1602</v>
      </c>
      <c r="E1560" s="2"/>
      <c r="F1560" t="s">
        <v>246</v>
      </c>
      <c r="G1560" t="s">
        <v>37</v>
      </c>
      <c r="H1560" t="s">
        <v>37</v>
      </c>
      <c r="I1560"/>
    </row>
    <row r="1561" spans="1:9">
      <c r="A1561" t="s">
        <v>1594</v>
      </c>
      <c r="B1561" s="1" t="str">
        <f>"20012001"</f>
        <v>20012001</v>
      </c>
      <c r="C1561" t="s">
        <v>1598</v>
      </c>
      <c r="D1561" t="s">
        <v>1603</v>
      </c>
      <c r="E1561" s="2"/>
      <c r="F1561" t="s">
        <v>246</v>
      </c>
      <c r="G1561" t="s">
        <v>37</v>
      </c>
      <c r="H1561" t="s">
        <v>37</v>
      </c>
      <c r="I1561"/>
    </row>
    <row r="1562" spans="1:9">
      <c r="A1562" t="s">
        <v>1594</v>
      </c>
      <c r="B1562" s="1" t="str">
        <f>"20745016"</f>
        <v>20745016</v>
      </c>
      <c r="C1562" t="s">
        <v>1598</v>
      </c>
      <c r="D1562" t="s">
        <v>1604</v>
      </c>
      <c r="E1562" s="2"/>
      <c r="F1562" t="s">
        <v>68</v>
      </c>
      <c r="G1562"/>
      <c r="H1562" t="s">
        <v>19</v>
      </c>
      <c r="I1562"/>
    </row>
    <row r="1563" spans="1:9">
      <c r="A1563" t="s">
        <v>1594</v>
      </c>
      <c r="B1563" s="1" t="str">
        <f>"20526931"</f>
        <v>20526931</v>
      </c>
      <c r="C1563" t="s">
        <v>1598</v>
      </c>
      <c r="D1563" t="s">
        <v>1605</v>
      </c>
      <c r="E1563" s="2"/>
      <c r="F1563" t="s">
        <v>246</v>
      </c>
      <c r="G1563" t="s">
        <v>37</v>
      </c>
      <c r="H1563" t="s">
        <v>37</v>
      </c>
      <c r="I1563"/>
    </row>
    <row r="1564" spans="1:9">
      <c r="A1564" t="s">
        <v>1594</v>
      </c>
      <c r="B1564" s="1" t="str">
        <f>"20012047"</f>
        <v>20012047</v>
      </c>
      <c r="C1564" t="s">
        <v>1598</v>
      </c>
      <c r="D1564" t="s">
        <v>1606</v>
      </c>
      <c r="E1564" s="2"/>
      <c r="F1564" t="s">
        <v>717</v>
      </c>
      <c r="G1564" t="s">
        <v>37</v>
      </c>
      <c r="H1564" t="s">
        <v>37</v>
      </c>
      <c r="I1564"/>
    </row>
    <row r="1565" spans="1:9">
      <c r="A1565" t="s">
        <v>1594</v>
      </c>
      <c r="B1565" s="1" t="str">
        <f>"20456448"</f>
        <v>20456448</v>
      </c>
      <c r="C1565" t="s">
        <v>1598</v>
      </c>
      <c r="D1565" t="s">
        <v>1607</v>
      </c>
      <c r="E1565" s="2"/>
      <c r="F1565" t="s">
        <v>68</v>
      </c>
      <c r="G1565" t="s">
        <v>19</v>
      </c>
      <c r="H1565" t="s">
        <v>19</v>
      </c>
      <c r="I1565"/>
    </row>
    <row r="1566" spans="1:9">
      <c r="A1566" t="s">
        <v>1594</v>
      </c>
      <c r="B1566" s="1" t="str">
        <f>"25684335"</f>
        <v>25684335</v>
      </c>
      <c r="C1566" t="s">
        <v>1598</v>
      </c>
      <c r="D1566" t="s">
        <v>1608</v>
      </c>
      <c r="E1566" s="2"/>
      <c r="F1566"/>
      <c r="G1566" t="s">
        <v>287</v>
      </c>
      <c r="H1566" t="s">
        <v>287</v>
      </c>
      <c r="I1566"/>
    </row>
    <row r="1567" spans="1:9">
      <c r="A1567" t="s">
        <v>1594</v>
      </c>
      <c r="B1567" s="1" t="str">
        <f>"20538569"</f>
        <v>20538569</v>
      </c>
      <c r="C1567" t="s">
        <v>1609</v>
      </c>
      <c r="D1567" t="s">
        <v>1610</v>
      </c>
      <c r="E1567" s="2"/>
      <c r="F1567" t="s">
        <v>105</v>
      </c>
      <c r="G1567" t="s">
        <v>58</v>
      </c>
      <c r="H1567" t="s">
        <v>287</v>
      </c>
      <c r="I1567"/>
    </row>
    <row r="1568" spans="1:9">
      <c r="A1568" t="s">
        <v>1611</v>
      </c>
      <c r="B1568" s="1" t="str">
        <f>"20012018"</f>
        <v>20012018</v>
      </c>
      <c r="C1568" t="s">
        <v>1598</v>
      </c>
      <c r="D1568" t="s">
        <v>1612</v>
      </c>
      <c r="E1568" s="2"/>
      <c r="F1568" t="s">
        <v>246</v>
      </c>
      <c r="G1568" t="s">
        <v>37</v>
      </c>
      <c r="H1568" t="s">
        <v>37</v>
      </c>
      <c r="I1568"/>
    </row>
    <row r="1569" spans="1:9">
      <c r="A1569" t="s">
        <v>1611</v>
      </c>
      <c r="B1569" s="1" t="str">
        <f>"20012020"</f>
        <v>20012020</v>
      </c>
      <c r="C1569" t="s">
        <v>1598</v>
      </c>
      <c r="D1569" t="s">
        <v>1613</v>
      </c>
      <c r="E1569" s="2"/>
      <c r="F1569" t="s">
        <v>246</v>
      </c>
      <c r="G1569" t="s">
        <v>37</v>
      </c>
      <c r="H1569" t="s">
        <v>37</v>
      </c>
      <c r="I1569"/>
    </row>
    <row r="1570" spans="1:9">
      <c r="A1570" t="s">
        <v>1611</v>
      </c>
      <c r="B1570" s="1" t="str">
        <f>"20012022"</f>
        <v>20012022</v>
      </c>
      <c r="C1570" t="s">
        <v>1598</v>
      </c>
      <c r="D1570" t="s">
        <v>1614</v>
      </c>
      <c r="E1570" s="2"/>
      <c r="F1570" t="s">
        <v>68</v>
      </c>
      <c r="G1570" t="s">
        <v>37</v>
      </c>
      <c r="H1570" t="s">
        <v>37</v>
      </c>
      <c r="I1570"/>
    </row>
    <row r="1571" spans="1:9">
      <c r="A1571" t="s">
        <v>1611</v>
      </c>
      <c r="B1571" s="1" t="str">
        <f>"20012016"</f>
        <v>20012016</v>
      </c>
      <c r="C1571" t="s">
        <v>1598</v>
      </c>
      <c r="D1571" t="s">
        <v>1615</v>
      </c>
      <c r="E1571" s="2"/>
      <c r="F1571" t="s">
        <v>1616</v>
      </c>
      <c r="G1571" t="s">
        <v>37</v>
      </c>
      <c r="H1571" t="s">
        <v>37</v>
      </c>
      <c r="I1571"/>
    </row>
    <row r="1572" spans="1:9">
      <c r="A1572" t="s">
        <v>1611</v>
      </c>
      <c r="B1572" s="1" t="str">
        <f>"20012017"</f>
        <v>20012017</v>
      </c>
      <c r="C1572" t="s">
        <v>1598</v>
      </c>
      <c r="D1572" t="s">
        <v>1617</v>
      </c>
      <c r="E1572" s="2"/>
      <c r="F1572" t="s">
        <v>1616</v>
      </c>
      <c r="G1572" t="s">
        <v>37</v>
      </c>
      <c r="H1572" t="s">
        <v>37</v>
      </c>
      <c r="I1572"/>
    </row>
    <row r="1573" spans="1:9">
      <c r="A1573" t="s">
        <v>1611</v>
      </c>
      <c r="B1573" s="1" t="str">
        <f>"20019849"</f>
        <v>20019849</v>
      </c>
      <c r="C1573" t="s">
        <v>1598</v>
      </c>
      <c r="D1573" t="s">
        <v>1618</v>
      </c>
      <c r="E1573" s="2"/>
      <c r="F1573" t="s">
        <v>1616</v>
      </c>
      <c r="G1573" t="s">
        <v>37</v>
      </c>
      <c r="H1573" t="s">
        <v>37</v>
      </c>
      <c r="I1573"/>
    </row>
    <row r="1574" spans="1:9">
      <c r="A1574" t="s">
        <v>1611</v>
      </c>
      <c r="B1574" s="1" t="str">
        <f>"22005615"</f>
        <v>22005615</v>
      </c>
      <c r="C1574" t="s">
        <v>1598</v>
      </c>
      <c r="D1574" t="s">
        <v>1619</v>
      </c>
      <c r="E1574" s="2"/>
      <c r="F1574" t="s">
        <v>31</v>
      </c>
      <c r="G1574" t="s">
        <v>37</v>
      </c>
      <c r="H1574" t="s">
        <v>37</v>
      </c>
      <c r="I1574"/>
    </row>
    <row r="1575" spans="1:9">
      <c r="A1575" t="s">
        <v>1611</v>
      </c>
      <c r="B1575" s="1" t="str">
        <f>"21274401"</f>
        <v>21274401</v>
      </c>
      <c r="C1575" t="s">
        <v>1598</v>
      </c>
      <c r="D1575" t="s">
        <v>1620</v>
      </c>
      <c r="E1575" s="2"/>
      <c r="F1575" t="s">
        <v>246</v>
      </c>
      <c r="G1575" t="s">
        <v>37</v>
      </c>
      <c r="H1575" t="s">
        <v>37</v>
      </c>
      <c r="I1575"/>
    </row>
    <row r="1576" spans="1:9">
      <c r="A1576" t="s">
        <v>1611</v>
      </c>
      <c r="B1576" s="1" t="str">
        <f>"20524913"</f>
        <v>20524913</v>
      </c>
      <c r="C1576" t="s">
        <v>1598</v>
      </c>
      <c r="D1576" t="s">
        <v>1621</v>
      </c>
      <c r="E1576" s="2"/>
      <c r="F1576" t="s">
        <v>246</v>
      </c>
      <c r="G1576" t="s">
        <v>37</v>
      </c>
      <c r="H1576" t="s">
        <v>37</v>
      </c>
      <c r="I1576"/>
    </row>
    <row r="1577" spans="1:9">
      <c r="A1577" t="s">
        <v>1611</v>
      </c>
      <c r="B1577" s="1" t="str">
        <f>"21274395"</f>
        <v>21274395</v>
      </c>
      <c r="C1577" t="s">
        <v>1598</v>
      </c>
      <c r="D1577" t="s">
        <v>1622</v>
      </c>
      <c r="E1577" s="2"/>
      <c r="F1577" t="s">
        <v>246</v>
      </c>
      <c r="G1577" t="s">
        <v>37</v>
      </c>
      <c r="H1577" t="s">
        <v>37</v>
      </c>
      <c r="I1577"/>
    </row>
    <row r="1578" spans="1:9">
      <c r="A1578" t="s">
        <v>1611</v>
      </c>
      <c r="B1578" s="1" t="str">
        <f>"21274396"</f>
        <v>21274396</v>
      </c>
      <c r="C1578" t="s">
        <v>1598</v>
      </c>
      <c r="D1578" t="s">
        <v>1623</v>
      </c>
      <c r="E1578" s="2"/>
      <c r="F1578" t="s">
        <v>246</v>
      </c>
      <c r="G1578"/>
      <c r="H1578" t="s">
        <v>37</v>
      </c>
      <c r="I1578"/>
    </row>
    <row r="1579" spans="1:9">
      <c r="A1579" t="s">
        <v>1611</v>
      </c>
      <c r="B1579" s="1" t="str">
        <f>"22708713"</f>
        <v>22708713</v>
      </c>
      <c r="C1579" t="s">
        <v>1598</v>
      </c>
      <c r="D1579" t="s">
        <v>1624</v>
      </c>
      <c r="E1579" s="2"/>
      <c r="F1579" t="s">
        <v>1616</v>
      </c>
      <c r="G1579" t="s">
        <v>37</v>
      </c>
      <c r="H1579" t="s">
        <v>37</v>
      </c>
      <c r="I1579"/>
    </row>
    <row r="1580" spans="1:9">
      <c r="A1580" t="s">
        <v>1611</v>
      </c>
      <c r="B1580" s="1" t="str">
        <f>"20221584"</f>
        <v>20221584</v>
      </c>
      <c r="C1580" t="s">
        <v>1598</v>
      </c>
      <c r="D1580" t="s">
        <v>1625</v>
      </c>
      <c r="E1580" s="2"/>
      <c r="F1580" t="s">
        <v>246</v>
      </c>
      <c r="G1580" t="s">
        <v>19</v>
      </c>
      <c r="H1580" t="s">
        <v>19</v>
      </c>
      <c r="I1580"/>
    </row>
    <row r="1581" spans="1:9">
      <c r="A1581" t="s">
        <v>1611</v>
      </c>
      <c r="B1581" s="1" t="str">
        <f>"20689191"</f>
        <v>20689191</v>
      </c>
      <c r="C1581" t="s">
        <v>1598</v>
      </c>
      <c r="D1581" t="s">
        <v>1626</v>
      </c>
      <c r="E1581" s="2"/>
      <c r="F1581" t="s">
        <v>246</v>
      </c>
      <c r="G1581" t="s">
        <v>37</v>
      </c>
      <c r="H1581" t="s">
        <v>37</v>
      </c>
      <c r="I1581"/>
    </row>
    <row r="1582" spans="1:9">
      <c r="A1582" t="s">
        <v>1611</v>
      </c>
      <c r="B1582" s="1" t="str">
        <f>"20012019"</f>
        <v>20012019</v>
      </c>
      <c r="C1582" t="s">
        <v>1598</v>
      </c>
      <c r="D1582" t="s">
        <v>1627</v>
      </c>
      <c r="E1582" s="2"/>
      <c r="F1582" t="s">
        <v>246</v>
      </c>
      <c r="G1582" t="s">
        <v>37</v>
      </c>
      <c r="H1582" t="s">
        <v>37</v>
      </c>
      <c r="I1582"/>
    </row>
    <row r="1583" spans="1:9">
      <c r="A1583" t="s">
        <v>1611</v>
      </c>
      <c r="B1583" s="1" t="str">
        <f>"20745013"</f>
        <v>20745013</v>
      </c>
      <c r="C1583" t="s">
        <v>1598</v>
      </c>
      <c r="D1583" t="s">
        <v>1628</v>
      </c>
      <c r="E1583" s="2"/>
      <c r="F1583" t="s">
        <v>246</v>
      </c>
      <c r="G1583" t="s">
        <v>37</v>
      </c>
      <c r="H1583" t="s">
        <v>37</v>
      </c>
      <c r="I1583"/>
    </row>
    <row r="1584" spans="1:9">
      <c r="A1584" t="s">
        <v>1611</v>
      </c>
      <c r="B1584" s="1" t="str">
        <f>"20279004"</f>
        <v>20279004</v>
      </c>
      <c r="C1584" t="s">
        <v>1598</v>
      </c>
      <c r="D1584" t="s">
        <v>1629</v>
      </c>
      <c r="E1584" s="2"/>
      <c r="F1584" t="s">
        <v>1616</v>
      </c>
      <c r="G1584" t="s">
        <v>37</v>
      </c>
      <c r="H1584" t="s">
        <v>37</v>
      </c>
      <c r="I1584"/>
    </row>
    <row r="1585" spans="1:9">
      <c r="A1585" t="s">
        <v>1611</v>
      </c>
      <c r="B1585" s="1" t="str">
        <f>"20012009"</f>
        <v>20012009</v>
      </c>
      <c r="C1585" t="s">
        <v>1598</v>
      </c>
      <c r="D1585" t="s">
        <v>1630</v>
      </c>
      <c r="E1585" s="2"/>
      <c r="F1585" t="s">
        <v>1616</v>
      </c>
      <c r="G1585" t="s">
        <v>37</v>
      </c>
      <c r="H1585" t="s">
        <v>37</v>
      </c>
      <c r="I1585"/>
    </row>
    <row r="1586" spans="1:9">
      <c r="A1586" t="s">
        <v>1611</v>
      </c>
      <c r="B1586" s="1" t="str">
        <f>"20019815"</f>
        <v>20019815</v>
      </c>
      <c r="C1586" t="s">
        <v>1598</v>
      </c>
      <c r="D1586" t="s">
        <v>1631</v>
      </c>
      <c r="E1586" s="2"/>
      <c r="F1586" t="s">
        <v>1632</v>
      </c>
      <c r="G1586" t="s">
        <v>1310</v>
      </c>
      <c r="H1586" t="s">
        <v>1310</v>
      </c>
      <c r="I1586"/>
    </row>
    <row r="1587" spans="1:9">
      <c r="A1587" t="s">
        <v>1611</v>
      </c>
      <c r="B1587" s="1" t="str">
        <f>"20525476"</f>
        <v>20525476</v>
      </c>
      <c r="C1587" t="s">
        <v>1598</v>
      </c>
      <c r="D1587" t="s">
        <v>1633</v>
      </c>
      <c r="E1587" s="2"/>
      <c r="F1587" t="s">
        <v>1634</v>
      </c>
      <c r="G1587" t="s">
        <v>227</v>
      </c>
      <c r="H1587" t="s">
        <v>19</v>
      </c>
      <c r="I1587"/>
    </row>
    <row r="1588" spans="1:9">
      <c r="A1588" t="s">
        <v>1635</v>
      </c>
      <c r="B1588" s="1" t="str">
        <f>"25000193"</f>
        <v>25000193</v>
      </c>
      <c r="C1588" t="s">
        <v>1598</v>
      </c>
      <c r="D1588" t="s">
        <v>1636</v>
      </c>
      <c r="E1588" s="2"/>
      <c r="F1588" t="s">
        <v>278</v>
      </c>
      <c r="G1588" t="s">
        <v>287</v>
      </c>
      <c r="H1588" t="s">
        <v>287</v>
      </c>
      <c r="I1588"/>
    </row>
    <row r="1589" spans="1:9">
      <c r="A1589" t="s">
        <v>1635</v>
      </c>
      <c r="B1589" s="1" t="str">
        <f>"21483705"</f>
        <v>21483705</v>
      </c>
      <c r="C1589" t="s">
        <v>1598</v>
      </c>
      <c r="D1589" t="s">
        <v>1637</v>
      </c>
      <c r="E1589" s="2"/>
      <c r="F1589" t="s">
        <v>278</v>
      </c>
      <c r="G1589" t="s">
        <v>287</v>
      </c>
      <c r="H1589" t="s">
        <v>287</v>
      </c>
      <c r="I1589"/>
    </row>
    <row r="1590" spans="1:9">
      <c r="A1590" t="s">
        <v>1635</v>
      </c>
      <c r="B1590" s="1" t="str">
        <f>"21483707"</f>
        <v>21483707</v>
      </c>
      <c r="C1590" t="s">
        <v>1598</v>
      </c>
      <c r="D1590" t="s">
        <v>1638</v>
      </c>
      <c r="E1590" s="2"/>
      <c r="F1590" t="s">
        <v>278</v>
      </c>
      <c r="G1590" t="s">
        <v>287</v>
      </c>
      <c r="H1590" t="s">
        <v>287</v>
      </c>
      <c r="I1590"/>
    </row>
    <row r="1591" spans="1:9">
      <c r="A1591" t="s">
        <v>1635</v>
      </c>
      <c r="B1591" s="1" t="str">
        <f>"28364586"</f>
        <v>28364586</v>
      </c>
      <c r="C1591" t="s">
        <v>1598</v>
      </c>
      <c r="D1591" t="s">
        <v>1639</v>
      </c>
      <c r="E1591" s="2"/>
      <c r="F1591" t="s">
        <v>428</v>
      </c>
      <c r="G1591" t="s">
        <v>287</v>
      </c>
      <c r="H1591" t="s">
        <v>287</v>
      </c>
      <c r="I1591"/>
    </row>
    <row r="1592" spans="1:9">
      <c r="A1592" t="s">
        <v>1635</v>
      </c>
      <c r="B1592" s="1" t="str">
        <f>"28364587"</f>
        <v>28364587</v>
      </c>
      <c r="C1592" t="s">
        <v>1598</v>
      </c>
      <c r="D1592" t="s">
        <v>1640</v>
      </c>
      <c r="E1592" s="2"/>
      <c r="F1592" t="s">
        <v>428</v>
      </c>
      <c r="G1592" t="s">
        <v>287</v>
      </c>
      <c r="H1592" t="s">
        <v>287</v>
      </c>
      <c r="I1592"/>
    </row>
    <row r="1593" spans="1:9">
      <c r="A1593" t="s">
        <v>1635</v>
      </c>
      <c r="B1593" s="1" t="str">
        <f>"28778406"</f>
        <v>28778406</v>
      </c>
      <c r="C1593" t="s">
        <v>1598</v>
      </c>
      <c r="D1593" t="s">
        <v>1641</v>
      </c>
      <c r="E1593" s="2"/>
      <c r="F1593" t="s">
        <v>278</v>
      </c>
      <c r="G1593" t="s">
        <v>287</v>
      </c>
      <c r="H1593" t="s">
        <v>287</v>
      </c>
      <c r="I1593"/>
    </row>
    <row r="1594" spans="1:9">
      <c r="A1594" t="s">
        <v>1635</v>
      </c>
      <c r="B1594" s="1" t="str">
        <f>"21483703"</f>
        <v>21483703</v>
      </c>
      <c r="C1594" t="s">
        <v>1598</v>
      </c>
      <c r="D1594" t="s">
        <v>1642</v>
      </c>
      <c r="E1594" s="2"/>
      <c r="F1594" t="s">
        <v>278</v>
      </c>
      <c r="G1594" t="s">
        <v>287</v>
      </c>
      <c r="H1594" t="s">
        <v>287</v>
      </c>
      <c r="I1594"/>
    </row>
    <row r="1595" spans="1:9">
      <c r="A1595" t="s">
        <v>1635</v>
      </c>
      <c r="B1595" s="1" t="str">
        <f>"21483706"</f>
        <v>21483706</v>
      </c>
      <c r="C1595" t="s">
        <v>1598</v>
      </c>
      <c r="D1595" t="s">
        <v>1643</v>
      </c>
      <c r="E1595" s="2"/>
      <c r="F1595" t="s">
        <v>278</v>
      </c>
      <c r="G1595" t="s">
        <v>287</v>
      </c>
      <c r="H1595" t="s">
        <v>287</v>
      </c>
      <c r="I1595"/>
    </row>
    <row r="1596" spans="1:9">
      <c r="A1596" t="s">
        <v>1635</v>
      </c>
      <c r="B1596" s="1" t="str">
        <f>"21478228"</f>
        <v>21478228</v>
      </c>
      <c r="C1596" t="s">
        <v>1598</v>
      </c>
      <c r="D1596" t="s">
        <v>1644</v>
      </c>
      <c r="E1596" s="2"/>
      <c r="F1596" t="s">
        <v>278</v>
      </c>
      <c r="G1596" t="s">
        <v>287</v>
      </c>
      <c r="H1596" t="s">
        <v>287</v>
      </c>
      <c r="I1596"/>
    </row>
    <row r="1597" spans="1:9">
      <c r="A1597" t="s">
        <v>1635</v>
      </c>
      <c r="B1597" s="1" t="str">
        <f>"21483704"</f>
        <v>21483704</v>
      </c>
      <c r="C1597" t="s">
        <v>1598</v>
      </c>
      <c r="D1597" t="s">
        <v>1645</v>
      </c>
      <c r="E1597" s="2"/>
      <c r="F1597" t="s">
        <v>278</v>
      </c>
      <c r="G1597" t="s">
        <v>287</v>
      </c>
      <c r="H1597" t="s">
        <v>287</v>
      </c>
      <c r="I1597"/>
    </row>
    <row r="1598" spans="1:9">
      <c r="A1598" t="s">
        <v>1635</v>
      </c>
      <c r="B1598" s="1" t="str">
        <f>"21483708"</f>
        <v>21483708</v>
      </c>
      <c r="C1598" t="s">
        <v>1598</v>
      </c>
      <c r="D1598" t="s">
        <v>1646</v>
      </c>
      <c r="E1598" s="2"/>
      <c r="F1598" t="s">
        <v>278</v>
      </c>
      <c r="G1598" t="s">
        <v>287</v>
      </c>
      <c r="H1598" t="s">
        <v>287</v>
      </c>
      <c r="I1598"/>
    </row>
    <row r="1599" spans="1:9">
      <c r="A1599" t="s">
        <v>1635</v>
      </c>
      <c r="B1599" s="1" t="str">
        <f>"20772243"</f>
        <v>20772243</v>
      </c>
      <c r="C1599" t="s">
        <v>1647</v>
      </c>
      <c r="D1599" t="s">
        <v>1648</v>
      </c>
      <c r="E1599" s="2"/>
      <c r="F1599" t="s">
        <v>1649</v>
      </c>
      <c r="G1599" t="s">
        <v>75</v>
      </c>
      <c r="H1599" t="s">
        <v>75</v>
      </c>
      <c r="I1599"/>
    </row>
    <row r="1600" spans="1:9">
      <c r="A1600" t="s">
        <v>1635</v>
      </c>
      <c r="B1600" s="1" t="str">
        <f>"24604787"</f>
        <v>24604787</v>
      </c>
      <c r="C1600" t="s">
        <v>1609</v>
      </c>
      <c r="D1600" t="s">
        <v>1650</v>
      </c>
      <c r="E1600" s="2"/>
      <c r="F1600" t="s">
        <v>428</v>
      </c>
      <c r="G1600" t="s">
        <v>19</v>
      </c>
      <c r="H1600" t="s">
        <v>19</v>
      </c>
      <c r="I1600"/>
    </row>
    <row r="1601" spans="1:9">
      <c r="A1601" t="s">
        <v>1635</v>
      </c>
      <c r="B1601" s="1" t="str">
        <f>"20412648"</f>
        <v>20412648</v>
      </c>
      <c r="C1601" t="s">
        <v>1609</v>
      </c>
      <c r="D1601" t="s">
        <v>1651</v>
      </c>
      <c r="E1601" s="2"/>
      <c r="F1601" t="s">
        <v>428</v>
      </c>
      <c r="G1601" t="s">
        <v>19</v>
      </c>
      <c r="H1601" t="s">
        <v>19</v>
      </c>
      <c r="I1601"/>
    </row>
    <row r="1602" spans="1:9">
      <c r="A1602" t="s">
        <v>1635</v>
      </c>
      <c r="B1602" s="1" t="str">
        <f>"20089306"</f>
        <v>20089306</v>
      </c>
      <c r="C1602" t="s">
        <v>1609</v>
      </c>
      <c r="D1602" t="s">
        <v>1652</v>
      </c>
      <c r="E1602" s="2"/>
      <c r="F1602" t="s">
        <v>428</v>
      </c>
      <c r="G1602" t="s">
        <v>19</v>
      </c>
      <c r="H1602" t="s">
        <v>19</v>
      </c>
      <c r="I1602"/>
    </row>
    <row r="1603" spans="1:9">
      <c r="A1603" t="s">
        <v>1635</v>
      </c>
      <c r="B1603" s="1" t="str">
        <f>"25585258"</f>
        <v>25585258</v>
      </c>
      <c r="C1603" t="s">
        <v>1609</v>
      </c>
      <c r="D1603" t="s">
        <v>1653</v>
      </c>
      <c r="E1603" s="2"/>
      <c r="F1603" t="s">
        <v>428</v>
      </c>
      <c r="G1603" t="s">
        <v>287</v>
      </c>
      <c r="H1603" t="s">
        <v>287</v>
      </c>
      <c r="I1603"/>
    </row>
    <row r="1604" spans="1:9">
      <c r="A1604" t="s">
        <v>1635</v>
      </c>
      <c r="B1604" s="1" t="str">
        <f>"25585260"</f>
        <v>25585260</v>
      </c>
      <c r="C1604" t="s">
        <v>1609</v>
      </c>
      <c r="D1604" t="s">
        <v>1654</v>
      </c>
      <c r="E1604" s="2"/>
      <c r="F1604" t="s">
        <v>428</v>
      </c>
      <c r="G1604" t="s">
        <v>287</v>
      </c>
      <c r="H1604" t="s">
        <v>287</v>
      </c>
      <c r="I1604"/>
    </row>
    <row r="1605" spans="1:9">
      <c r="A1605" t="s">
        <v>1635</v>
      </c>
      <c r="B1605" s="1" t="str">
        <f>"25585445"</f>
        <v>25585445</v>
      </c>
      <c r="C1605" t="s">
        <v>1609</v>
      </c>
      <c r="D1605" t="s">
        <v>1655</v>
      </c>
      <c r="E1605" s="2"/>
      <c r="F1605" t="s">
        <v>428</v>
      </c>
      <c r="G1605" t="s">
        <v>287</v>
      </c>
      <c r="H1605" t="s">
        <v>287</v>
      </c>
      <c r="I1605"/>
    </row>
    <row r="1606" spans="1:9">
      <c r="A1606" t="s">
        <v>1635</v>
      </c>
      <c r="B1606" s="1" t="str">
        <f>"25585254"</f>
        <v>25585254</v>
      </c>
      <c r="C1606" t="s">
        <v>1609</v>
      </c>
      <c r="D1606" t="s">
        <v>1656</v>
      </c>
      <c r="E1606" s="2"/>
      <c r="F1606" t="s">
        <v>428</v>
      </c>
      <c r="G1606" t="s">
        <v>19</v>
      </c>
      <c r="H1606" t="s">
        <v>19</v>
      </c>
      <c r="I1606"/>
    </row>
    <row r="1607" spans="1:9">
      <c r="A1607" t="s">
        <v>1657</v>
      </c>
      <c r="B1607" s="1" t="str">
        <f>"20621981"</f>
        <v>20621981</v>
      </c>
      <c r="C1607" t="s">
        <v>1598</v>
      </c>
      <c r="D1607" t="s">
        <v>1658</v>
      </c>
      <c r="E1607" s="2"/>
      <c r="F1607" t="s">
        <v>66</v>
      </c>
      <c r="G1607" t="s">
        <v>25</v>
      </c>
      <c r="H1607" t="s">
        <v>25</v>
      </c>
      <c r="I1607"/>
    </row>
    <row r="1608" spans="1:9">
      <c r="A1608" t="s">
        <v>1657</v>
      </c>
      <c r="B1608" s="1" t="str">
        <f>"20369009"</f>
        <v>20369009</v>
      </c>
      <c r="C1608" t="s">
        <v>1598</v>
      </c>
      <c r="D1608" t="s">
        <v>1659</v>
      </c>
      <c r="E1608" s="2"/>
      <c r="F1608"/>
      <c r="G1608" t="s">
        <v>19</v>
      </c>
      <c r="H1608" t="s">
        <v>19</v>
      </c>
      <c r="I1608"/>
    </row>
    <row r="1609" spans="1:9">
      <c r="A1609" t="s">
        <v>1660</v>
      </c>
      <c r="B1609" s="1" t="str">
        <f>"20525474"</f>
        <v>20525474</v>
      </c>
      <c r="C1609" t="s">
        <v>1598</v>
      </c>
      <c r="D1609" t="s">
        <v>1661</v>
      </c>
      <c r="E1609" s="2"/>
      <c r="F1609" t="s">
        <v>107</v>
      </c>
      <c r="G1609" t="s">
        <v>1662</v>
      </c>
      <c r="H1609" t="s">
        <v>1662</v>
      </c>
      <c r="I1609"/>
    </row>
    <row r="1610" spans="1:9">
      <c r="A1610" t="s">
        <v>1660</v>
      </c>
      <c r="B1610" s="1" t="str">
        <f>"20525473"</f>
        <v>20525473</v>
      </c>
      <c r="C1610" t="s">
        <v>1598</v>
      </c>
      <c r="D1610" t="s">
        <v>1663</v>
      </c>
      <c r="E1610" s="2"/>
      <c r="F1610" t="s">
        <v>107</v>
      </c>
      <c r="G1610" t="s">
        <v>175</v>
      </c>
      <c r="H1610" t="s">
        <v>175</v>
      </c>
      <c r="I1610"/>
    </row>
    <row r="1611" spans="1:9">
      <c r="A1611" t="s">
        <v>1660</v>
      </c>
      <c r="B1611" s="1" t="str">
        <f>"20012024"</f>
        <v>20012024</v>
      </c>
      <c r="C1611" t="s">
        <v>1598</v>
      </c>
      <c r="D1611" t="s">
        <v>1664</v>
      </c>
      <c r="E1611" s="2"/>
      <c r="F1611" t="s">
        <v>79</v>
      </c>
      <c r="G1611" t="s">
        <v>19</v>
      </c>
      <c r="H1611" t="s">
        <v>19</v>
      </c>
      <c r="I1611"/>
    </row>
    <row r="1612" spans="1:9">
      <c r="A1612" t="s">
        <v>1660</v>
      </c>
      <c r="B1612" s="1" t="str">
        <f>"20525480"</f>
        <v>20525480</v>
      </c>
      <c r="C1612" t="s">
        <v>1598</v>
      </c>
      <c r="D1612" t="s">
        <v>1665</v>
      </c>
      <c r="E1612" s="2"/>
      <c r="F1612" t="s">
        <v>79</v>
      </c>
      <c r="G1612" t="s">
        <v>54</v>
      </c>
      <c r="H1612" t="s">
        <v>54</v>
      </c>
      <c r="I1612"/>
    </row>
    <row r="1613" spans="1:9">
      <c r="A1613" t="s">
        <v>1660</v>
      </c>
      <c r="B1613" s="1" t="str">
        <f>"20012026"</f>
        <v>20012026</v>
      </c>
      <c r="C1613" t="s">
        <v>1598</v>
      </c>
      <c r="D1613" t="s">
        <v>1666</v>
      </c>
      <c r="E1613" s="2"/>
      <c r="F1613" t="s">
        <v>79</v>
      </c>
      <c r="G1613" t="s">
        <v>19</v>
      </c>
      <c r="H1613" t="s">
        <v>19</v>
      </c>
      <c r="I1613"/>
    </row>
    <row r="1614" spans="1:9">
      <c r="A1614" t="s">
        <v>1660</v>
      </c>
      <c r="B1614" s="1" t="str">
        <f>"20012028"</f>
        <v>20012028</v>
      </c>
      <c r="C1614" t="s">
        <v>1598</v>
      </c>
      <c r="D1614" t="s">
        <v>1667</v>
      </c>
      <c r="E1614" s="2"/>
      <c r="F1614" t="s">
        <v>79</v>
      </c>
      <c r="G1614" t="s">
        <v>19</v>
      </c>
      <c r="H1614" t="s">
        <v>19</v>
      </c>
      <c r="I1614"/>
    </row>
    <row r="1615" spans="1:9">
      <c r="A1615" t="s">
        <v>1660</v>
      </c>
      <c r="B1615" s="1" t="str">
        <f>"20525478"</f>
        <v>20525478</v>
      </c>
      <c r="C1615" t="s">
        <v>1598</v>
      </c>
      <c r="D1615" t="s">
        <v>1668</v>
      </c>
      <c r="E1615" s="2"/>
      <c r="F1615" t="s">
        <v>79</v>
      </c>
      <c r="G1615" t="s">
        <v>54</v>
      </c>
      <c r="H1615" t="s">
        <v>54</v>
      </c>
      <c r="I1615"/>
    </row>
    <row r="1616" spans="1:9">
      <c r="A1616" t="s">
        <v>1660</v>
      </c>
      <c r="B1616" s="1" t="str">
        <f>"20182175"</f>
        <v>20182175</v>
      </c>
      <c r="C1616" t="s">
        <v>1598</v>
      </c>
      <c r="D1616" t="s">
        <v>1669</v>
      </c>
      <c r="E1616" s="2"/>
      <c r="F1616" t="s">
        <v>107</v>
      </c>
      <c r="G1616" t="s">
        <v>58</v>
      </c>
      <c r="H1616" t="s">
        <v>58</v>
      </c>
      <c r="I1616"/>
    </row>
    <row r="1617" spans="1:9">
      <c r="A1617" t="s">
        <v>1660</v>
      </c>
      <c r="B1617" s="1" t="str">
        <f>"20182176"</f>
        <v>20182176</v>
      </c>
      <c r="C1617" t="s">
        <v>1598</v>
      </c>
      <c r="D1617" t="s">
        <v>1670</v>
      </c>
      <c r="E1617" s="2"/>
      <c r="F1617" t="s">
        <v>107</v>
      </c>
      <c r="G1617" t="s">
        <v>58</v>
      </c>
      <c r="H1617" t="s">
        <v>58</v>
      </c>
      <c r="I1617"/>
    </row>
    <row r="1618" spans="1:9">
      <c r="A1618" t="s">
        <v>1660</v>
      </c>
      <c r="B1618" s="1" t="str">
        <f>"20012054"</f>
        <v>20012054</v>
      </c>
      <c r="C1618" t="s">
        <v>1598</v>
      </c>
      <c r="D1618" t="s">
        <v>1671</v>
      </c>
      <c r="E1618" s="2"/>
      <c r="F1618" t="s">
        <v>79</v>
      </c>
      <c r="G1618" t="s">
        <v>19</v>
      </c>
      <c r="H1618" t="s">
        <v>19</v>
      </c>
      <c r="I1618"/>
    </row>
    <row r="1619" spans="1:9">
      <c r="A1619" t="s">
        <v>1672</v>
      </c>
      <c r="B1619" s="1" t="str">
        <f>"20568009"</f>
        <v>20568009</v>
      </c>
      <c r="C1619" t="s">
        <v>1598</v>
      </c>
      <c r="D1619" t="s">
        <v>1673</v>
      </c>
      <c r="E1619" s="2"/>
      <c r="F1619" t="s">
        <v>246</v>
      </c>
      <c r="G1619" t="s">
        <v>37</v>
      </c>
      <c r="H1619" t="s">
        <v>37</v>
      </c>
      <c r="I1619"/>
    </row>
    <row r="1620" spans="1:9">
      <c r="A1620" t="s">
        <v>1672</v>
      </c>
      <c r="B1620" s="1" t="str">
        <f>"20012038"</f>
        <v>20012038</v>
      </c>
      <c r="C1620" t="s">
        <v>1598</v>
      </c>
      <c r="D1620" t="s">
        <v>1674</v>
      </c>
      <c r="E1620" s="2"/>
      <c r="F1620" t="s">
        <v>31</v>
      </c>
      <c r="G1620" t="s">
        <v>37</v>
      </c>
      <c r="H1620" t="s">
        <v>37</v>
      </c>
      <c r="I1620"/>
    </row>
    <row r="1621" spans="1:9">
      <c r="A1621" t="s">
        <v>1672</v>
      </c>
      <c r="B1621" s="1" t="str">
        <f>"20016851"</f>
        <v>20016851</v>
      </c>
      <c r="C1621" t="s">
        <v>1598</v>
      </c>
      <c r="D1621" t="s">
        <v>1675</v>
      </c>
      <c r="E1621" s="2"/>
      <c r="F1621" t="s">
        <v>90</v>
      </c>
      <c r="G1621" t="s">
        <v>37</v>
      </c>
      <c r="H1621" t="s">
        <v>37</v>
      </c>
      <c r="I1621"/>
    </row>
    <row r="1622" spans="1:9">
      <c r="A1622" t="s">
        <v>1672</v>
      </c>
      <c r="B1622" s="1" t="str">
        <f>"21270857"</f>
        <v>21270857</v>
      </c>
      <c r="C1622" t="s">
        <v>1598</v>
      </c>
      <c r="D1622" t="s">
        <v>1676</v>
      </c>
      <c r="E1622" s="2"/>
      <c r="F1622" t="s">
        <v>90</v>
      </c>
      <c r="G1622" t="s">
        <v>499</v>
      </c>
      <c r="H1622" t="s">
        <v>499</v>
      </c>
      <c r="I1622"/>
    </row>
    <row r="1623" spans="1:9">
      <c r="A1623" t="s">
        <v>1672</v>
      </c>
      <c r="B1623" s="1" t="str">
        <f>"20104520"</f>
        <v>20104520</v>
      </c>
      <c r="C1623" t="s">
        <v>1598</v>
      </c>
      <c r="D1623" t="s">
        <v>1677</v>
      </c>
      <c r="E1623" s="2"/>
      <c r="F1623" t="s">
        <v>31</v>
      </c>
      <c r="G1623" t="s">
        <v>37</v>
      </c>
      <c r="H1623" t="s">
        <v>37</v>
      </c>
      <c r="I1623"/>
    </row>
    <row r="1624" spans="1:9">
      <c r="A1624" t="s">
        <v>1672</v>
      </c>
      <c r="B1624" s="1" t="str">
        <f>"20524340"</f>
        <v>20524340</v>
      </c>
      <c r="C1624" t="s">
        <v>1598</v>
      </c>
      <c r="D1624" t="s">
        <v>1678</v>
      </c>
      <c r="E1624" s="2"/>
      <c r="F1624" t="s">
        <v>246</v>
      </c>
      <c r="G1624" t="s">
        <v>37</v>
      </c>
      <c r="H1624" t="s">
        <v>37</v>
      </c>
      <c r="I1624"/>
    </row>
    <row r="1625" spans="1:9">
      <c r="A1625" t="s">
        <v>1672</v>
      </c>
      <c r="B1625" s="1" t="str">
        <f>"20524524"</f>
        <v>20524524</v>
      </c>
      <c r="C1625" t="s">
        <v>1598</v>
      </c>
      <c r="D1625" t="s">
        <v>1679</v>
      </c>
      <c r="E1625" s="2"/>
      <c r="F1625" t="s">
        <v>246</v>
      </c>
      <c r="G1625" t="s">
        <v>37</v>
      </c>
      <c r="H1625" t="s">
        <v>37</v>
      </c>
      <c r="I1625"/>
    </row>
    <row r="1626" spans="1:9">
      <c r="A1626" t="s">
        <v>1672</v>
      </c>
      <c r="B1626" s="1" t="str">
        <f>"20012008"</f>
        <v>20012008</v>
      </c>
      <c r="C1626" t="s">
        <v>1598</v>
      </c>
      <c r="D1626" t="s">
        <v>1680</v>
      </c>
      <c r="E1626" s="2"/>
      <c r="F1626" t="s">
        <v>246</v>
      </c>
      <c r="G1626" t="s">
        <v>37</v>
      </c>
      <c r="H1626" t="s">
        <v>37</v>
      </c>
      <c r="I1626"/>
    </row>
    <row r="1627" spans="1:9">
      <c r="A1627" t="s">
        <v>1672</v>
      </c>
      <c r="B1627" s="1" t="str">
        <f>"26329464"</f>
        <v>26329464</v>
      </c>
      <c r="C1627" t="s">
        <v>1598</v>
      </c>
      <c r="D1627" t="s">
        <v>1681</v>
      </c>
      <c r="E1627" s="2"/>
      <c r="F1627" t="s">
        <v>246</v>
      </c>
      <c r="G1627" t="s">
        <v>37</v>
      </c>
      <c r="H1627" t="s">
        <v>37</v>
      </c>
      <c r="I1627"/>
    </row>
    <row r="1628" spans="1:9">
      <c r="A1628" t="s">
        <v>1672</v>
      </c>
      <c r="B1628" s="1" t="str">
        <f>"20325068"</f>
        <v>20325068</v>
      </c>
      <c r="C1628" t="s">
        <v>1598</v>
      </c>
      <c r="D1628" t="s">
        <v>1682</v>
      </c>
      <c r="E1628" s="2"/>
      <c r="F1628" t="s">
        <v>246</v>
      </c>
      <c r="G1628" t="s">
        <v>37</v>
      </c>
      <c r="H1628" t="s">
        <v>37</v>
      </c>
      <c r="I1628"/>
    </row>
    <row r="1629" spans="1:9">
      <c r="A1629" t="s">
        <v>1672</v>
      </c>
      <c r="B1629" s="1" t="str">
        <f>"20159117"</f>
        <v>20159117</v>
      </c>
      <c r="C1629" t="s">
        <v>1598</v>
      </c>
      <c r="D1629" t="s">
        <v>1683</v>
      </c>
      <c r="E1629" s="2"/>
      <c r="F1629" t="s">
        <v>31</v>
      </c>
      <c r="G1629" t="s">
        <v>37</v>
      </c>
      <c r="H1629" t="s">
        <v>37</v>
      </c>
      <c r="I1629"/>
    </row>
    <row r="1630" spans="1:9">
      <c r="A1630" t="s">
        <v>1672</v>
      </c>
      <c r="B1630" s="1" t="str">
        <f>"20161608"</f>
        <v>20161608</v>
      </c>
      <c r="C1630" t="s">
        <v>1598</v>
      </c>
      <c r="D1630" t="s">
        <v>1684</v>
      </c>
      <c r="E1630" s="2"/>
      <c r="F1630" t="s">
        <v>31</v>
      </c>
      <c r="G1630" t="s">
        <v>37</v>
      </c>
      <c r="H1630" t="s">
        <v>37</v>
      </c>
      <c r="I1630"/>
    </row>
    <row r="1631" spans="1:9">
      <c r="A1631" t="s">
        <v>1672</v>
      </c>
      <c r="B1631" s="1" t="str">
        <f>"20293840"</f>
        <v>20293840</v>
      </c>
      <c r="C1631" t="s">
        <v>1598</v>
      </c>
      <c r="D1631" t="s">
        <v>1685</v>
      </c>
      <c r="E1631" s="2"/>
      <c r="F1631" t="s">
        <v>246</v>
      </c>
      <c r="G1631" t="s">
        <v>37</v>
      </c>
      <c r="H1631" t="s">
        <v>37</v>
      </c>
      <c r="I1631"/>
    </row>
    <row r="1632" spans="1:9">
      <c r="A1632" t="s">
        <v>1672</v>
      </c>
      <c r="B1632" s="1" t="str">
        <f>"20618445"</f>
        <v>20618445</v>
      </c>
      <c r="C1632" t="s">
        <v>1598</v>
      </c>
      <c r="D1632" t="s">
        <v>1686</v>
      </c>
      <c r="E1632" s="2"/>
      <c r="F1632" t="s">
        <v>246</v>
      </c>
      <c r="G1632" t="s">
        <v>37</v>
      </c>
      <c r="H1632" t="s">
        <v>37</v>
      </c>
      <c r="I1632"/>
    </row>
    <row r="1633" spans="1:9">
      <c r="A1633" t="s">
        <v>1672</v>
      </c>
      <c r="B1633" s="1" t="str">
        <f>"20528546"</f>
        <v>20528546</v>
      </c>
      <c r="C1633" t="s">
        <v>1598</v>
      </c>
      <c r="D1633" t="s">
        <v>1687</v>
      </c>
      <c r="E1633" s="2"/>
      <c r="F1633" t="s">
        <v>246</v>
      </c>
      <c r="G1633" t="s">
        <v>37</v>
      </c>
      <c r="H1633" t="s">
        <v>37</v>
      </c>
      <c r="I1633"/>
    </row>
    <row r="1634" spans="1:9">
      <c r="A1634" t="s">
        <v>1672</v>
      </c>
      <c r="B1634" s="1" t="str">
        <f>"20528577"</f>
        <v>20528577</v>
      </c>
      <c r="C1634" t="s">
        <v>1598</v>
      </c>
      <c r="D1634" t="s">
        <v>1688</v>
      </c>
      <c r="E1634" s="2"/>
      <c r="F1634" t="s">
        <v>246</v>
      </c>
      <c r="G1634" t="s">
        <v>37</v>
      </c>
      <c r="H1634" t="s">
        <v>37</v>
      </c>
      <c r="I1634"/>
    </row>
    <row r="1635" spans="1:9">
      <c r="A1635" t="s">
        <v>1672</v>
      </c>
      <c r="B1635" s="1" t="str">
        <f>"20528607"</f>
        <v>20528607</v>
      </c>
      <c r="C1635" t="s">
        <v>1598</v>
      </c>
      <c r="D1635" t="s">
        <v>1689</v>
      </c>
      <c r="E1635" s="2"/>
      <c r="F1635" t="s">
        <v>246</v>
      </c>
      <c r="G1635" t="s">
        <v>37</v>
      </c>
      <c r="H1635" t="s">
        <v>37</v>
      </c>
      <c r="I1635"/>
    </row>
    <row r="1636" spans="1:9">
      <c r="A1636" t="s">
        <v>1672</v>
      </c>
      <c r="B1636" s="1" t="str">
        <f>"20528578"</f>
        <v>20528578</v>
      </c>
      <c r="C1636" t="s">
        <v>1598</v>
      </c>
      <c r="D1636" t="s">
        <v>1690</v>
      </c>
      <c r="E1636" s="2"/>
      <c r="F1636" t="s">
        <v>246</v>
      </c>
      <c r="G1636" t="s">
        <v>37</v>
      </c>
      <c r="H1636" t="s">
        <v>37</v>
      </c>
      <c r="I1636"/>
    </row>
    <row r="1637" spans="1:9">
      <c r="A1637" t="s">
        <v>1672</v>
      </c>
      <c r="B1637" s="1" t="str">
        <f>"23250743"</f>
        <v>23250743</v>
      </c>
      <c r="C1637" t="s">
        <v>1598</v>
      </c>
      <c r="D1637" t="s">
        <v>1691</v>
      </c>
      <c r="E1637" s="2"/>
      <c r="F1637" t="s">
        <v>246</v>
      </c>
      <c r="G1637" t="s">
        <v>37</v>
      </c>
      <c r="H1637" t="s">
        <v>37</v>
      </c>
      <c r="I1637"/>
    </row>
    <row r="1638" spans="1:9">
      <c r="A1638" t="s">
        <v>1672</v>
      </c>
      <c r="B1638" s="1" t="str">
        <f>"20292317"</f>
        <v>20292317</v>
      </c>
      <c r="C1638" t="s">
        <v>1598</v>
      </c>
      <c r="D1638" t="s">
        <v>1692</v>
      </c>
      <c r="E1638" s="2"/>
      <c r="F1638" t="s">
        <v>717</v>
      </c>
      <c r="G1638" t="s">
        <v>37</v>
      </c>
      <c r="H1638" t="s">
        <v>37</v>
      </c>
      <c r="I1638"/>
    </row>
    <row r="1639" spans="1:9">
      <c r="A1639" t="s">
        <v>1672</v>
      </c>
      <c r="B1639" s="1" t="str">
        <f>"20528959"</f>
        <v>20528959</v>
      </c>
      <c r="C1639" t="s">
        <v>1598</v>
      </c>
      <c r="D1639" t="s">
        <v>1693</v>
      </c>
      <c r="E1639" s="2"/>
      <c r="F1639" t="s">
        <v>717</v>
      </c>
      <c r="G1639" t="s">
        <v>37</v>
      </c>
      <c r="H1639" t="s">
        <v>37</v>
      </c>
      <c r="I1639"/>
    </row>
    <row r="1640" spans="1:9">
      <c r="A1640" t="s">
        <v>1672</v>
      </c>
      <c r="B1640" s="1" t="str">
        <f>"27192003"</f>
        <v>27192003</v>
      </c>
      <c r="C1640" t="s">
        <v>1598</v>
      </c>
      <c r="D1640" t="s">
        <v>1694</v>
      </c>
      <c r="E1640" s="2"/>
      <c r="F1640" t="s">
        <v>717</v>
      </c>
      <c r="G1640" t="s">
        <v>37</v>
      </c>
      <c r="H1640" t="s">
        <v>37</v>
      </c>
      <c r="I1640"/>
    </row>
    <row r="1641" spans="1:9">
      <c r="A1641" t="s">
        <v>1672</v>
      </c>
      <c r="B1641" s="1" t="str">
        <f>"20528942"</f>
        <v>20528942</v>
      </c>
      <c r="C1641" t="s">
        <v>1598</v>
      </c>
      <c r="D1641" t="s">
        <v>1695</v>
      </c>
      <c r="E1641" s="2"/>
      <c r="F1641" t="s">
        <v>717</v>
      </c>
      <c r="G1641" t="s">
        <v>37</v>
      </c>
      <c r="H1641" t="s">
        <v>37</v>
      </c>
      <c r="I1641"/>
    </row>
    <row r="1642" spans="1:9">
      <c r="A1642" t="s">
        <v>1672</v>
      </c>
      <c r="B1642" s="1" t="str">
        <f>"20529062"</f>
        <v>20529062</v>
      </c>
      <c r="C1642" t="s">
        <v>1598</v>
      </c>
      <c r="D1642" t="s">
        <v>1696</v>
      </c>
      <c r="E1642" s="2"/>
      <c r="F1642" t="s">
        <v>717</v>
      </c>
      <c r="G1642" t="s">
        <v>37</v>
      </c>
      <c r="H1642" t="s">
        <v>37</v>
      </c>
      <c r="I1642"/>
    </row>
    <row r="1643" spans="1:9">
      <c r="A1643" t="s">
        <v>1672</v>
      </c>
      <c r="B1643" s="1" t="str">
        <f>"20525465"</f>
        <v>20525465</v>
      </c>
      <c r="C1643" t="s">
        <v>1598</v>
      </c>
      <c r="D1643" t="s">
        <v>1697</v>
      </c>
      <c r="E1643" s="2"/>
      <c r="F1643" t="s">
        <v>717</v>
      </c>
      <c r="G1643" t="s">
        <v>37</v>
      </c>
      <c r="H1643" t="s">
        <v>37</v>
      </c>
      <c r="I1643"/>
    </row>
    <row r="1644" spans="1:9">
      <c r="A1644" t="s">
        <v>1672</v>
      </c>
      <c r="B1644" s="1" t="str">
        <f>"21276700"</f>
        <v>21276700</v>
      </c>
      <c r="C1644" t="s">
        <v>1598</v>
      </c>
      <c r="D1644" t="s">
        <v>1698</v>
      </c>
      <c r="E1644" s="2"/>
      <c r="F1644" t="s">
        <v>90</v>
      </c>
      <c r="G1644" t="s">
        <v>37</v>
      </c>
      <c r="H1644" t="s">
        <v>37</v>
      </c>
      <c r="I1644"/>
    </row>
    <row r="1645" spans="1:9">
      <c r="A1645" t="s">
        <v>1672</v>
      </c>
      <c r="B1645" s="1" t="str">
        <f>"21276710"</f>
        <v>21276710</v>
      </c>
      <c r="C1645" t="s">
        <v>1598</v>
      </c>
      <c r="D1645" t="s">
        <v>1699</v>
      </c>
      <c r="E1645" s="2"/>
      <c r="F1645" t="s">
        <v>90</v>
      </c>
      <c r="G1645" t="s">
        <v>37</v>
      </c>
      <c r="H1645" t="s">
        <v>37</v>
      </c>
      <c r="I1645"/>
    </row>
    <row r="1646" spans="1:9">
      <c r="A1646" t="s">
        <v>1672</v>
      </c>
      <c r="B1646" s="1" t="str">
        <f>"21276805"</f>
        <v>21276805</v>
      </c>
      <c r="C1646" t="s">
        <v>1598</v>
      </c>
      <c r="D1646" t="s">
        <v>1700</v>
      </c>
      <c r="E1646" s="2"/>
      <c r="F1646" t="s">
        <v>90</v>
      </c>
      <c r="G1646" t="s">
        <v>37</v>
      </c>
      <c r="H1646" t="s">
        <v>37</v>
      </c>
      <c r="I1646"/>
    </row>
    <row r="1647" spans="1:9">
      <c r="A1647" t="s">
        <v>1672</v>
      </c>
      <c r="B1647" s="1" t="str">
        <f>"21276820"</f>
        <v>21276820</v>
      </c>
      <c r="C1647" t="s">
        <v>1598</v>
      </c>
      <c r="D1647" t="s">
        <v>1701</v>
      </c>
      <c r="E1647" s="2"/>
      <c r="F1647" t="s">
        <v>90</v>
      </c>
      <c r="G1647" t="s">
        <v>37</v>
      </c>
      <c r="H1647" t="s">
        <v>37</v>
      </c>
      <c r="I1647"/>
    </row>
    <row r="1648" spans="1:9">
      <c r="A1648" t="s">
        <v>1672</v>
      </c>
      <c r="B1648" s="1" t="str">
        <f>"21276850"</f>
        <v>21276850</v>
      </c>
      <c r="C1648" t="s">
        <v>1598</v>
      </c>
      <c r="D1648" t="s">
        <v>1702</v>
      </c>
      <c r="E1648" s="2"/>
      <c r="F1648" t="s">
        <v>90</v>
      </c>
      <c r="G1648" t="s">
        <v>37</v>
      </c>
      <c r="H1648" t="s">
        <v>37</v>
      </c>
      <c r="I1648"/>
    </row>
    <row r="1649" spans="1:9">
      <c r="A1649" t="s">
        <v>1672</v>
      </c>
      <c r="B1649" s="1" t="str">
        <f>"21276852"</f>
        <v>21276852</v>
      </c>
      <c r="C1649" t="s">
        <v>1598</v>
      </c>
      <c r="D1649" t="s">
        <v>1703</v>
      </c>
      <c r="E1649" s="2"/>
      <c r="F1649" t="s">
        <v>90</v>
      </c>
      <c r="G1649" t="s">
        <v>37</v>
      </c>
      <c r="H1649" t="s">
        <v>37</v>
      </c>
      <c r="I1649"/>
    </row>
    <row r="1650" spans="1:9">
      <c r="A1650" t="s">
        <v>1672</v>
      </c>
      <c r="B1650" s="1" t="str">
        <f>"21276853"</f>
        <v>21276853</v>
      </c>
      <c r="C1650" t="s">
        <v>1598</v>
      </c>
      <c r="D1650" t="s">
        <v>1704</v>
      </c>
      <c r="E1650" s="2"/>
      <c r="F1650" t="s">
        <v>90</v>
      </c>
      <c r="G1650" t="s">
        <v>19</v>
      </c>
      <c r="H1650" t="s">
        <v>19</v>
      </c>
      <c r="I1650"/>
    </row>
    <row r="1651" spans="1:9">
      <c r="A1651" t="s">
        <v>1672</v>
      </c>
      <c r="B1651" s="1" t="str">
        <f>"21276851"</f>
        <v>21276851</v>
      </c>
      <c r="C1651" t="s">
        <v>1598</v>
      </c>
      <c r="D1651" t="s">
        <v>1705</v>
      </c>
      <c r="E1651" s="2"/>
      <c r="F1651" t="s">
        <v>90</v>
      </c>
      <c r="G1651" t="s">
        <v>37</v>
      </c>
      <c r="H1651" t="s">
        <v>37</v>
      </c>
      <c r="I1651"/>
    </row>
    <row r="1652" spans="1:9">
      <c r="A1652" t="s">
        <v>1672</v>
      </c>
      <c r="B1652" s="1" t="str">
        <f>"20529291"</f>
        <v>20529291</v>
      </c>
      <c r="C1652" t="s">
        <v>1598</v>
      </c>
      <c r="D1652" t="s">
        <v>1706</v>
      </c>
      <c r="E1652" s="2"/>
      <c r="F1652" t="s">
        <v>90</v>
      </c>
      <c r="G1652"/>
      <c r="H1652" t="s">
        <v>37</v>
      </c>
      <c r="I1652"/>
    </row>
    <row r="1653" spans="1:9">
      <c r="A1653" t="s">
        <v>1672</v>
      </c>
      <c r="B1653" s="1" t="str">
        <f>"20529284"</f>
        <v>20529284</v>
      </c>
      <c r="C1653" t="s">
        <v>1598</v>
      </c>
      <c r="D1653" t="s">
        <v>1707</v>
      </c>
      <c r="E1653" s="2"/>
      <c r="F1653" t="s">
        <v>90</v>
      </c>
      <c r="G1653" t="s">
        <v>37</v>
      </c>
      <c r="H1653" t="s">
        <v>37</v>
      </c>
      <c r="I1653"/>
    </row>
    <row r="1654" spans="1:9">
      <c r="A1654" t="s">
        <v>1708</v>
      </c>
      <c r="B1654" s="1" t="str">
        <f>"20055387"</f>
        <v>20055387</v>
      </c>
      <c r="C1654" t="s">
        <v>260</v>
      </c>
      <c r="D1654" t="s">
        <v>1709</v>
      </c>
      <c r="E1654" s="2"/>
      <c r="F1654" t="s">
        <v>907</v>
      </c>
      <c r="G1654" t="s">
        <v>952</v>
      </c>
      <c r="H1654" t="s">
        <v>952</v>
      </c>
      <c r="I1654"/>
    </row>
    <row r="1655" spans="1:9">
      <c r="A1655" t="s">
        <v>1708</v>
      </c>
      <c r="B1655" s="1" t="str">
        <f>"20111519"</f>
        <v>20111519</v>
      </c>
      <c r="C1655" t="s">
        <v>260</v>
      </c>
      <c r="D1655" t="s">
        <v>1710</v>
      </c>
      <c r="E1655" s="2"/>
      <c r="F1655" t="s">
        <v>794</v>
      </c>
      <c r="G1655" t="s">
        <v>1711</v>
      </c>
      <c r="H1655" t="s">
        <v>1711</v>
      </c>
      <c r="I1655"/>
    </row>
    <row r="1656" spans="1:9">
      <c r="A1656" t="s">
        <v>1708</v>
      </c>
      <c r="B1656" s="1" t="str">
        <f>"20111519.2"</f>
        <v>20111519.2</v>
      </c>
      <c r="C1656" t="s">
        <v>260</v>
      </c>
      <c r="D1656" t="s">
        <v>1710</v>
      </c>
      <c r="E1656" s="2"/>
      <c r="F1656" t="s">
        <v>794</v>
      </c>
      <c r="G1656" t="s">
        <v>1711</v>
      </c>
      <c r="H1656" t="s">
        <v>383</v>
      </c>
      <c r="I1656"/>
    </row>
    <row r="1657" spans="1:9">
      <c r="A1657" t="s">
        <v>1708</v>
      </c>
      <c r="B1657" s="1" t="str">
        <f>"12001614"</f>
        <v>12001614</v>
      </c>
      <c r="C1657" t="s">
        <v>1354</v>
      </c>
      <c r="D1657" t="s">
        <v>1712</v>
      </c>
      <c r="E1657" s="2"/>
      <c r="F1657" t="s">
        <v>1713</v>
      </c>
      <c r="G1657" t="s">
        <v>122</v>
      </c>
      <c r="H1657" t="s">
        <v>383</v>
      </c>
      <c r="I1657"/>
    </row>
    <row r="1658" spans="1:9">
      <c r="A1658" t="s">
        <v>1708</v>
      </c>
      <c r="B1658" s="1" t="str">
        <f>"20105310"</f>
        <v>20105310</v>
      </c>
      <c r="C1658" t="s">
        <v>1464</v>
      </c>
      <c r="D1658" t="s">
        <v>1714</v>
      </c>
      <c r="E1658" s="2"/>
      <c r="F1658" t="s">
        <v>68</v>
      </c>
      <c r="G1658" t="s">
        <v>952</v>
      </c>
      <c r="H1658" t="s">
        <v>952</v>
      </c>
      <c r="I1658"/>
    </row>
    <row r="1659" spans="1:9">
      <c r="A1659" t="s">
        <v>1708</v>
      </c>
      <c r="B1659" s="1" t="str">
        <f>"20510701"</f>
        <v>20510701</v>
      </c>
      <c r="C1659" t="s">
        <v>1464</v>
      </c>
      <c r="D1659" t="s">
        <v>1715</v>
      </c>
      <c r="E1659" s="2"/>
      <c r="F1659" t="s">
        <v>68</v>
      </c>
      <c r="G1659" t="s">
        <v>952</v>
      </c>
      <c r="H1659" t="s">
        <v>952</v>
      </c>
      <c r="I1659"/>
    </row>
    <row r="1660" spans="1:9">
      <c r="A1660" t="s">
        <v>1708</v>
      </c>
      <c r="B1660" s="1" t="str">
        <f>"20105051"</f>
        <v>20105051</v>
      </c>
      <c r="C1660" t="s">
        <v>1464</v>
      </c>
      <c r="D1660" t="s">
        <v>1716</v>
      </c>
      <c r="E1660" s="2"/>
      <c r="F1660" t="s">
        <v>68</v>
      </c>
      <c r="G1660" t="s">
        <v>952</v>
      </c>
      <c r="H1660" t="s">
        <v>952</v>
      </c>
      <c r="I1660"/>
    </row>
    <row r="1661" spans="1:9">
      <c r="A1661" t="s">
        <v>1708</v>
      </c>
      <c r="B1661" s="1" t="str">
        <f>"20292911"</f>
        <v>20292911</v>
      </c>
      <c r="C1661" t="s">
        <v>1464</v>
      </c>
      <c r="D1661" t="s">
        <v>1717</v>
      </c>
      <c r="E1661" s="2"/>
      <c r="F1661" t="s">
        <v>68</v>
      </c>
      <c r="G1661" t="s">
        <v>952</v>
      </c>
      <c r="H1661" t="s">
        <v>952</v>
      </c>
      <c r="I1661"/>
    </row>
    <row r="1662" spans="1:9">
      <c r="A1662" t="s">
        <v>1708</v>
      </c>
      <c r="B1662" s="1" t="str">
        <f>"20198466"</f>
        <v>20198466</v>
      </c>
      <c r="C1662" t="s">
        <v>1464</v>
      </c>
      <c r="D1662" t="s">
        <v>1718</v>
      </c>
      <c r="E1662" s="2"/>
      <c r="F1662" t="s">
        <v>79</v>
      </c>
      <c r="G1662" t="s">
        <v>156</v>
      </c>
      <c r="H1662" t="s">
        <v>156</v>
      </c>
      <c r="I1662"/>
    </row>
    <row r="1663" spans="1:9">
      <c r="A1663" t="s">
        <v>1708</v>
      </c>
      <c r="B1663" s="1" t="str">
        <f>"20105402"</f>
        <v>20105402</v>
      </c>
      <c r="C1663" t="s">
        <v>1464</v>
      </c>
      <c r="D1663" t="s">
        <v>1719</v>
      </c>
      <c r="E1663" s="2"/>
      <c r="F1663" t="s">
        <v>68</v>
      </c>
      <c r="G1663" t="s">
        <v>952</v>
      </c>
      <c r="H1663" t="s">
        <v>952</v>
      </c>
      <c r="I1663"/>
    </row>
    <row r="1664" spans="1:9">
      <c r="A1664" t="s">
        <v>1708</v>
      </c>
      <c r="B1664" s="1" t="str">
        <f>"22446121"</f>
        <v>22446121</v>
      </c>
      <c r="C1664" t="s">
        <v>1464</v>
      </c>
      <c r="D1664" t="s">
        <v>1720</v>
      </c>
      <c r="E1664" s="2"/>
      <c r="F1664" t="s">
        <v>1721</v>
      </c>
      <c r="G1664" t="s">
        <v>1722</v>
      </c>
      <c r="H1664" t="s">
        <v>1722</v>
      </c>
      <c r="I1664"/>
    </row>
    <row r="1665" spans="1:9">
      <c r="A1665" t="s">
        <v>1708</v>
      </c>
      <c r="B1665" s="1" t="str">
        <f>"22446121.2"</f>
        <v>22446121.2</v>
      </c>
      <c r="C1665" t="s">
        <v>1464</v>
      </c>
      <c r="D1665" t="s">
        <v>1720</v>
      </c>
      <c r="E1665" s="2"/>
      <c r="F1665" t="s">
        <v>1721</v>
      </c>
      <c r="G1665" t="s">
        <v>1722</v>
      </c>
      <c r="H1665" t="s">
        <v>383</v>
      </c>
      <c r="I1665"/>
    </row>
    <row r="1666" spans="1:9">
      <c r="A1666" t="s">
        <v>1708</v>
      </c>
      <c r="B1666" s="1" t="str">
        <f>"20104962"</f>
        <v>20104962</v>
      </c>
      <c r="C1666" t="s">
        <v>1464</v>
      </c>
      <c r="D1666" t="s">
        <v>1723</v>
      </c>
      <c r="E1666" s="2"/>
      <c r="F1666" t="s">
        <v>68</v>
      </c>
      <c r="G1666" t="s">
        <v>952</v>
      </c>
      <c r="H1666" t="s">
        <v>952</v>
      </c>
      <c r="I1666"/>
    </row>
    <row r="1667" spans="1:9">
      <c r="A1667" t="s">
        <v>1708</v>
      </c>
      <c r="B1667" s="1" t="str">
        <f>"20104979"</f>
        <v>20104979</v>
      </c>
      <c r="C1667" t="s">
        <v>1464</v>
      </c>
      <c r="D1667" t="s">
        <v>1724</v>
      </c>
      <c r="E1667" s="2"/>
      <c r="F1667" t="s">
        <v>68</v>
      </c>
      <c r="G1667" t="s">
        <v>952</v>
      </c>
      <c r="H1667" t="s">
        <v>952</v>
      </c>
      <c r="I1667"/>
    </row>
    <row r="1668" spans="1:9">
      <c r="A1668" t="s">
        <v>1708</v>
      </c>
      <c r="B1668" s="1" t="str">
        <f>"20104689"</f>
        <v>20104689</v>
      </c>
      <c r="C1668" t="s">
        <v>1464</v>
      </c>
      <c r="D1668" t="s">
        <v>1725</v>
      </c>
      <c r="E1668" s="2"/>
      <c r="F1668" t="s">
        <v>68</v>
      </c>
      <c r="G1668" t="s">
        <v>952</v>
      </c>
      <c r="H1668" t="s">
        <v>952</v>
      </c>
      <c r="I1668"/>
    </row>
    <row r="1669" spans="1:9">
      <c r="A1669" t="s">
        <v>1708</v>
      </c>
      <c r="B1669" s="1" t="str">
        <f>"24458878"</f>
        <v>24458878</v>
      </c>
      <c r="C1669" t="s">
        <v>1464</v>
      </c>
      <c r="D1669" t="s">
        <v>1726</v>
      </c>
      <c r="E1669" s="2"/>
      <c r="F1669" t="s">
        <v>68</v>
      </c>
      <c r="G1669" t="s">
        <v>952</v>
      </c>
      <c r="H1669" t="s">
        <v>952</v>
      </c>
      <c r="I1669"/>
    </row>
    <row r="1670" spans="1:9">
      <c r="A1670" t="s">
        <v>1708</v>
      </c>
      <c r="B1670" s="1" t="str">
        <f>"24458885"</f>
        <v>24458885</v>
      </c>
      <c r="C1670" t="s">
        <v>1464</v>
      </c>
      <c r="D1670" t="s">
        <v>1727</v>
      </c>
      <c r="E1670" s="2"/>
      <c r="F1670" t="s">
        <v>68</v>
      </c>
      <c r="G1670" t="s">
        <v>952</v>
      </c>
      <c r="H1670" t="s">
        <v>952</v>
      </c>
      <c r="I1670"/>
    </row>
    <row r="1671" spans="1:9">
      <c r="A1671" t="s">
        <v>1708</v>
      </c>
      <c r="B1671" s="1" t="str">
        <f>"20033390"</f>
        <v>20033390</v>
      </c>
      <c r="C1671" t="s">
        <v>1464</v>
      </c>
      <c r="D1671" t="s">
        <v>1728</v>
      </c>
      <c r="E1671" s="2"/>
      <c r="F1671" t="s">
        <v>79</v>
      </c>
      <c r="G1671" t="s">
        <v>952</v>
      </c>
      <c r="H1671" t="s">
        <v>952</v>
      </c>
      <c r="I1671"/>
    </row>
    <row r="1672" spans="1:9">
      <c r="A1672" t="s">
        <v>1708</v>
      </c>
      <c r="B1672" s="1" t="str">
        <f>"20295487"</f>
        <v>20295487</v>
      </c>
      <c r="C1672" t="s">
        <v>1729</v>
      </c>
      <c r="D1672" t="s">
        <v>1730</v>
      </c>
      <c r="E1672" s="2"/>
      <c r="F1672" t="s">
        <v>1731</v>
      </c>
      <c r="G1672"/>
      <c r="H1672" t="s">
        <v>1732</v>
      </c>
      <c r="I1672"/>
    </row>
    <row r="1673" spans="1:9">
      <c r="A1673" t="s">
        <v>1708</v>
      </c>
      <c r="B1673" s="1" t="str">
        <f>"20295489"</f>
        <v>20295489</v>
      </c>
      <c r="C1673" t="s">
        <v>1729</v>
      </c>
      <c r="D1673" t="s">
        <v>1733</v>
      </c>
      <c r="E1673" s="2"/>
      <c r="F1673" t="s">
        <v>1731</v>
      </c>
      <c r="G1673"/>
      <c r="H1673" t="s">
        <v>1732</v>
      </c>
      <c r="I1673"/>
    </row>
    <row r="1674" spans="1:9">
      <c r="A1674" t="s">
        <v>1708</v>
      </c>
      <c r="B1674" s="1" t="str">
        <f>"20295488"</f>
        <v>20295488</v>
      </c>
      <c r="C1674" t="s">
        <v>1729</v>
      </c>
      <c r="D1674" t="s">
        <v>1734</v>
      </c>
      <c r="E1674" s="2"/>
      <c r="F1674" t="s">
        <v>1731</v>
      </c>
      <c r="G1674"/>
      <c r="H1674" t="s">
        <v>1732</v>
      </c>
      <c r="I1674"/>
    </row>
    <row r="1675" spans="1:9">
      <c r="A1675" t="s">
        <v>1708</v>
      </c>
      <c r="B1675" s="1" t="str">
        <f>"20058586"</f>
        <v>20058586</v>
      </c>
      <c r="C1675" t="s">
        <v>225</v>
      </c>
      <c r="D1675" t="s">
        <v>1735</v>
      </c>
      <c r="E1675" s="2"/>
      <c r="F1675" t="s">
        <v>22</v>
      </c>
      <c r="G1675" t="s">
        <v>156</v>
      </c>
      <c r="H1675" t="s">
        <v>156</v>
      </c>
      <c r="I1675"/>
    </row>
    <row r="1676" spans="1:9">
      <c r="A1676" t="s">
        <v>1708</v>
      </c>
      <c r="B1676" s="1" t="str">
        <f>"20279158"</f>
        <v>20279158</v>
      </c>
      <c r="C1676" t="s">
        <v>225</v>
      </c>
      <c r="D1676" t="s">
        <v>1736</v>
      </c>
      <c r="E1676" s="2"/>
      <c r="F1676" t="s">
        <v>1721</v>
      </c>
      <c r="G1676" t="s">
        <v>156</v>
      </c>
      <c r="H1676" t="s">
        <v>156</v>
      </c>
      <c r="I1676"/>
    </row>
    <row r="1677" spans="1:9">
      <c r="A1677" t="s">
        <v>1708</v>
      </c>
      <c r="B1677" s="1" t="str">
        <f>"20091888"</f>
        <v>20091888</v>
      </c>
      <c r="C1677" t="s">
        <v>225</v>
      </c>
      <c r="D1677" t="s">
        <v>1737</v>
      </c>
      <c r="E1677" s="2"/>
      <c r="F1677" t="s">
        <v>68</v>
      </c>
      <c r="G1677" t="s">
        <v>647</v>
      </c>
      <c r="H1677" t="s">
        <v>647</v>
      </c>
      <c r="I1677"/>
    </row>
    <row r="1678" spans="1:9">
      <c r="A1678" t="s">
        <v>1708</v>
      </c>
      <c r="B1678" s="1" t="str">
        <f>"20091880"</f>
        <v>20091880</v>
      </c>
      <c r="C1678" t="s">
        <v>225</v>
      </c>
      <c r="D1678" t="s">
        <v>1738</v>
      </c>
      <c r="E1678" s="2"/>
      <c r="F1678" t="s">
        <v>68</v>
      </c>
      <c r="G1678" t="s">
        <v>647</v>
      </c>
      <c r="H1678" t="s">
        <v>647</v>
      </c>
      <c r="I1678"/>
    </row>
    <row r="1679" spans="1:9">
      <c r="A1679" t="s">
        <v>1708</v>
      </c>
      <c r="B1679" s="1" t="str">
        <f>"20068134"</f>
        <v>20068134</v>
      </c>
      <c r="C1679" t="s">
        <v>225</v>
      </c>
      <c r="D1679" t="s">
        <v>1739</v>
      </c>
      <c r="E1679" s="2"/>
      <c r="F1679" t="s">
        <v>68</v>
      </c>
      <c r="G1679" t="s">
        <v>647</v>
      </c>
      <c r="H1679" t="s">
        <v>647</v>
      </c>
      <c r="I1679"/>
    </row>
    <row r="1680" spans="1:9">
      <c r="A1680" t="s">
        <v>1708</v>
      </c>
      <c r="B1680" s="1" t="str">
        <f>"20109363"</f>
        <v>20109363</v>
      </c>
      <c r="C1680" t="s">
        <v>225</v>
      </c>
      <c r="D1680" t="s">
        <v>1740</v>
      </c>
      <c r="E1680" s="2"/>
      <c r="F1680" t="s">
        <v>68</v>
      </c>
      <c r="G1680" t="s">
        <v>647</v>
      </c>
      <c r="H1680" t="s">
        <v>647</v>
      </c>
      <c r="I1680"/>
    </row>
    <row r="1681" spans="1:9">
      <c r="A1681" t="s">
        <v>1708</v>
      </c>
      <c r="B1681" s="1" t="str">
        <f>"20068141"</f>
        <v>20068141</v>
      </c>
      <c r="C1681" t="s">
        <v>225</v>
      </c>
      <c r="D1681" t="s">
        <v>1718</v>
      </c>
      <c r="E1681" s="2"/>
      <c r="F1681" t="s">
        <v>246</v>
      </c>
      <c r="G1681" t="s">
        <v>647</v>
      </c>
      <c r="H1681" t="s">
        <v>647</v>
      </c>
      <c r="I1681"/>
    </row>
    <row r="1682" spans="1:9">
      <c r="A1682" t="s">
        <v>1708</v>
      </c>
      <c r="B1682" s="1" t="str">
        <f>"20279165"</f>
        <v>20279165</v>
      </c>
      <c r="C1682" t="s">
        <v>225</v>
      </c>
      <c r="D1682" t="s">
        <v>1741</v>
      </c>
      <c r="E1682" s="2"/>
      <c r="F1682" t="s">
        <v>31</v>
      </c>
      <c r="G1682" t="s">
        <v>952</v>
      </c>
      <c r="H1682" t="s">
        <v>952</v>
      </c>
      <c r="I1682"/>
    </row>
    <row r="1683" spans="1:9">
      <c r="A1683" t="s">
        <v>1708</v>
      </c>
      <c r="B1683" s="1" t="str">
        <f>"20427486"</f>
        <v>20427486</v>
      </c>
      <c r="C1683" t="s">
        <v>225</v>
      </c>
      <c r="D1683" t="s">
        <v>1742</v>
      </c>
      <c r="E1683" s="2"/>
      <c r="F1683" t="s">
        <v>1721</v>
      </c>
      <c r="G1683"/>
      <c r="H1683" t="s">
        <v>156</v>
      </c>
      <c r="I1683"/>
    </row>
    <row r="1684" spans="1:9">
      <c r="A1684" t="s">
        <v>1708</v>
      </c>
      <c r="B1684" s="1" t="str">
        <f>"20058562"</f>
        <v>20058562</v>
      </c>
      <c r="C1684" t="s">
        <v>225</v>
      </c>
      <c r="D1684" t="s">
        <v>1743</v>
      </c>
      <c r="E1684" s="2"/>
      <c r="F1684" t="s">
        <v>794</v>
      </c>
      <c r="G1684" t="s">
        <v>1711</v>
      </c>
      <c r="H1684" t="s">
        <v>1711</v>
      </c>
      <c r="I1684"/>
    </row>
    <row r="1685" spans="1:9">
      <c r="A1685" t="s">
        <v>1708</v>
      </c>
      <c r="B1685" s="1" t="str">
        <f>"20058685"</f>
        <v>20058685</v>
      </c>
      <c r="C1685" t="s">
        <v>225</v>
      </c>
      <c r="D1685" t="s">
        <v>1744</v>
      </c>
      <c r="E1685" s="2"/>
      <c r="F1685" t="s">
        <v>1745</v>
      </c>
      <c r="G1685" t="s">
        <v>1711</v>
      </c>
      <c r="H1685" t="s">
        <v>1711</v>
      </c>
      <c r="I1685"/>
    </row>
    <row r="1686" spans="1:9">
      <c r="A1686" t="s">
        <v>1708</v>
      </c>
      <c r="B1686" s="1" t="str">
        <f>"20028138"</f>
        <v>20028138</v>
      </c>
      <c r="C1686" t="s">
        <v>1746</v>
      </c>
      <c r="D1686" t="s">
        <v>1747</v>
      </c>
      <c r="E1686" s="2"/>
      <c r="F1686" t="s">
        <v>68</v>
      </c>
      <c r="G1686" t="s">
        <v>952</v>
      </c>
      <c r="H1686" t="s">
        <v>952</v>
      </c>
      <c r="I1686"/>
    </row>
    <row r="1687" spans="1:9">
      <c r="A1687" t="s">
        <v>1708</v>
      </c>
      <c r="B1687" s="1" t="str">
        <f>"20028176"</f>
        <v>20028176</v>
      </c>
      <c r="C1687" t="s">
        <v>1746</v>
      </c>
      <c r="D1687" t="s">
        <v>1748</v>
      </c>
      <c r="E1687" s="2"/>
      <c r="F1687" t="s">
        <v>22</v>
      </c>
      <c r="G1687" t="s">
        <v>156</v>
      </c>
      <c r="H1687" t="s">
        <v>156</v>
      </c>
      <c r="I1687"/>
    </row>
    <row r="1688" spans="1:9">
      <c r="A1688" t="s">
        <v>1708</v>
      </c>
      <c r="B1688" s="1" t="str">
        <f>"20055264"</f>
        <v>20055264</v>
      </c>
      <c r="C1688" t="s">
        <v>1746</v>
      </c>
      <c r="D1688" t="s">
        <v>1749</v>
      </c>
      <c r="E1688" s="2"/>
      <c r="F1688" t="s">
        <v>68</v>
      </c>
      <c r="G1688" t="s">
        <v>952</v>
      </c>
      <c r="H1688" t="s">
        <v>952</v>
      </c>
      <c r="I1688"/>
    </row>
    <row r="1689" spans="1:9">
      <c r="A1689" t="s">
        <v>1708</v>
      </c>
      <c r="B1689" s="1" t="str">
        <f>"20066666"</f>
        <v>20066666</v>
      </c>
      <c r="C1689" t="s">
        <v>1746</v>
      </c>
      <c r="D1689" t="s">
        <v>1718</v>
      </c>
      <c r="E1689" s="2"/>
      <c r="F1689" t="s">
        <v>68</v>
      </c>
      <c r="G1689" t="s">
        <v>952</v>
      </c>
      <c r="H1689" t="s">
        <v>952</v>
      </c>
      <c r="I1689"/>
    </row>
    <row r="1690" spans="1:9">
      <c r="A1690" t="s">
        <v>1708</v>
      </c>
      <c r="B1690" s="1" t="str">
        <f>"20819729"</f>
        <v>20819729</v>
      </c>
      <c r="C1690" t="s">
        <v>1746</v>
      </c>
      <c r="D1690" t="s">
        <v>1750</v>
      </c>
      <c r="E1690" s="2"/>
      <c r="F1690" t="s">
        <v>68</v>
      </c>
      <c r="G1690" t="s">
        <v>952</v>
      </c>
      <c r="H1690" t="s">
        <v>952</v>
      </c>
      <c r="I1690"/>
    </row>
    <row r="1691" spans="1:9">
      <c r="A1691" t="s">
        <v>1708</v>
      </c>
      <c r="B1691" s="1" t="str">
        <f>"20028022"</f>
        <v>20028022</v>
      </c>
      <c r="C1691" t="s">
        <v>1746</v>
      </c>
      <c r="D1691" t="s">
        <v>1751</v>
      </c>
      <c r="E1691" s="2"/>
      <c r="F1691" t="s">
        <v>68</v>
      </c>
      <c r="G1691" t="s">
        <v>952</v>
      </c>
      <c r="H1691" t="s">
        <v>952</v>
      </c>
      <c r="I1691"/>
    </row>
    <row r="1692" spans="1:9">
      <c r="A1692" t="s">
        <v>1708</v>
      </c>
      <c r="B1692" s="1" t="str">
        <f>"20028145"</f>
        <v>20028145</v>
      </c>
      <c r="C1692" t="s">
        <v>1746</v>
      </c>
      <c r="D1692" t="s">
        <v>1752</v>
      </c>
      <c r="E1692" s="2"/>
      <c r="F1692" t="s">
        <v>61</v>
      </c>
      <c r="G1692" t="s">
        <v>952</v>
      </c>
      <c r="H1692" t="s">
        <v>1753</v>
      </c>
      <c r="I1692"/>
    </row>
    <row r="1693" spans="1:9">
      <c r="A1693" t="s">
        <v>1708</v>
      </c>
      <c r="B1693" s="1" t="str">
        <f>"20511883"</f>
        <v>20511883</v>
      </c>
      <c r="C1693" t="s">
        <v>1746</v>
      </c>
      <c r="D1693" t="s">
        <v>1754</v>
      </c>
      <c r="E1693" s="2"/>
      <c r="F1693" t="s">
        <v>246</v>
      </c>
      <c r="G1693" t="s">
        <v>952</v>
      </c>
      <c r="H1693" t="s">
        <v>952</v>
      </c>
      <c r="I1693"/>
    </row>
    <row r="1694" spans="1:9">
      <c r="A1694" t="s">
        <v>1755</v>
      </c>
      <c r="B1694" s="1" t="str">
        <f>"20247782"</f>
        <v>20247782</v>
      </c>
      <c r="C1694" t="s">
        <v>260</v>
      </c>
      <c r="D1694" t="s">
        <v>1756</v>
      </c>
      <c r="E1694" s="2"/>
      <c r="F1694" t="s">
        <v>278</v>
      </c>
      <c r="G1694" t="s">
        <v>37</v>
      </c>
      <c r="H1694" t="s">
        <v>37</v>
      </c>
      <c r="I1694"/>
    </row>
    <row r="1695" spans="1:9">
      <c r="A1695" t="s">
        <v>1755</v>
      </c>
      <c r="B1695" s="1" t="str">
        <f>"20026301"</f>
        <v>20026301</v>
      </c>
      <c r="C1695" t="s">
        <v>260</v>
      </c>
      <c r="D1695" t="s">
        <v>1757</v>
      </c>
      <c r="E1695" s="2"/>
      <c r="F1695" t="s">
        <v>137</v>
      </c>
      <c r="G1695" t="s">
        <v>156</v>
      </c>
      <c r="H1695" t="s">
        <v>156</v>
      </c>
      <c r="I1695"/>
    </row>
    <row r="1696" spans="1:9">
      <c r="A1696" t="s">
        <v>1755</v>
      </c>
      <c r="B1696" s="1" t="str">
        <f>"20026301.2"</f>
        <v>20026301.2</v>
      </c>
      <c r="C1696" t="s">
        <v>260</v>
      </c>
      <c r="D1696" t="s">
        <v>1757</v>
      </c>
      <c r="E1696" s="2"/>
      <c r="F1696" t="s">
        <v>137</v>
      </c>
      <c r="G1696" t="s">
        <v>156</v>
      </c>
      <c r="H1696" t="s">
        <v>383</v>
      </c>
      <c r="I1696"/>
    </row>
    <row r="1697" spans="1:9">
      <c r="A1697" t="s">
        <v>1755</v>
      </c>
      <c r="B1697" s="1" t="str">
        <f>"20827886"</f>
        <v>20827886</v>
      </c>
      <c r="C1697" t="s">
        <v>1758</v>
      </c>
      <c r="D1697" t="s">
        <v>1759</v>
      </c>
      <c r="E1697" s="2"/>
      <c r="F1697" t="s">
        <v>1760</v>
      </c>
      <c r="G1697" t="s">
        <v>120</v>
      </c>
      <c r="H1697" t="s">
        <v>120</v>
      </c>
      <c r="I1697"/>
    </row>
    <row r="1698" spans="1:9">
      <c r="A1698" t="s">
        <v>1755</v>
      </c>
      <c r="B1698" s="1" t="str">
        <f>"20082368"</f>
        <v>20082368</v>
      </c>
      <c r="C1698" t="s">
        <v>1758</v>
      </c>
      <c r="D1698" t="s">
        <v>1761</v>
      </c>
      <c r="E1698" s="2"/>
      <c r="F1698" t="s">
        <v>90</v>
      </c>
      <c r="G1698" t="s">
        <v>120</v>
      </c>
      <c r="H1698" t="s">
        <v>120</v>
      </c>
      <c r="I1698"/>
    </row>
    <row r="1699" spans="1:9">
      <c r="A1699" t="s">
        <v>1755</v>
      </c>
      <c r="B1699" s="1" t="str">
        <f>"20082369"</f>
        <v>20082369</v>
      </c>
      <c r="C1699" t="s">
        <v>1758</v>
      </c>
      <c r="D1699" t="s">
        <v>1762</v>
      </c>
      <c r="E1699" s="2"/>
      <c r="F1699" t="s">
        <v>90</v>
      </c>
      <c r="G1699" t="s">
        <v>120</v>
      </c>
      <c r="H1699" t="s">
        <v>120</v>
      </c>
      <c r="I1699"/>
    </row>
    <row r="1700" spans="1:9">
      <c r="A1700" t="s">
        <v>1755</v>
      </c>
      <c r="B1700" s="1" t="str">
        <f>"20109844"</f>
        <v>20109844</v>
      </c>
      <c r="C1700" t="s">
        <v>1763</v>
      </c>
      <c r="D1700" t="s">
        <v>1764</v>
      </c>
      <c r="E1700" s="2"/>
      <c r="F1700" t="s">
        <v>1134</v>
      </c>
      <c r="G1700" t="s">
        <v>120</v>
      </c>
      <c r="H1700" t="s">
        <v>120</v>
      </c>
      <c r="I1700"/>
    </row>
    <row r="1701" spans="1:9">
      <c r="A1701" t="s">
        <v>1755</v>
      </c>
      <c r="B1701" s="1" t="str">
        <f>"20109912"</f>
        <v>20109912</v>
      </c>
      <c r="C1701" t="s">
        <v>1763</v>
      </c>
      <c r="D1701" t="s">
        <v>1765</v>
      </c>
      <c r="E1701" s="2"/>
      <c r="F1701" t="s">
        <v>1649</v>
      </c>
      <c r="G1701" t="s">
        <v>120</v>
      </c>
      <c r="H1701" t="s">
        <v>120</v>
      </c>
      <c r="I1701"/>
    </row>
    <row r="1702" spans="1:9">
      <c r="A1702" t="s">
        <v>1755</v>
      </c>
      <c r="B1702" s="1" t="str">
        <f>"20110208"</f>
        <v>20110208</v>
      </c>
      <c r="C1702" t="s">
        <v>1763</v>
      </c>
      <c r="D1702" t="s">
        <v>1766</v>
      </c>
      <c r="E1702" s="2"/>
      <c r="F1702" t="s">
        <v>1767</v>
      </c>
      <c r="G1702" t="s">
        <v>120</v>
      </c>
      <c r="H1702" t="s">
        <v>120</v>
      </c>
      <c r="I1702"/>
    </row>
    <row r="1703" spans="1:9">
      <c r="A1703" t="s">
        <v>1755</v>
      </c>
      <c r="B1703" s="1" t="str">
        <f>"20105792"</f>
        <v>20105792</v>
      </c>
      <c r="C1703" t="s">
        <v>1768</v>
      </c>
      <c r="D1703" t="s">
        <v>1769</v>
      </c>
      <c r="E1703" s="2"/>
      <c r="F1703" t="s">
        <v>1770</v>
      </c>
      <c r="G1703" t="s">
        <v>156</v>
      </c>
      <c r="H1703" t="s">
        <v>156</v>
      </c>
      <c r="I1703"/>
    </row>
    <row r="1704" spans="1:9">
      <c r="A1704" t="s">
        <v>1755</v>
      </c>
      <c r="B1704" s="1" t="str">
        <f>"20105778"</f>
        <v>20105778</v>
      </c>
      <c r="C1704" t="s">
        <v>1768</v>
      </c>
      <c r="D1704" t="s">
        <v>1771</v>
      </c>
      <c r="E1704" s="2"/>
      <c r="F1704" t="s">
        <v>1649</v>
      </c>
      <c r="G1704" t="s">
        <v>156</v>
      </c>
      <c r="H1704" t="s">
        <v>156</v>
      </c>
      <c r="I1704"/>
    </row>
    <row r="1705" spans="1:9">
      <c r="A1705" t="s">
        <v>1755</v>
      </c>
      <c r="B1705" s="1" t="str">
        <f>"20203894"</f>
        <v>20203894</v>
      </c>
      <c r="C1705" t="s">
        <v>1772</v>
      </c>
      <c r="D1705" t="s">
        <v>1773</v>
      </c>
      <c r="E1705" s="2"/>
      <c r="F1705" t="s">
        <v>137</v>
      </c>
      <c r="G1705" t="s">
        <v>657</v>
      </c>
      <c r="H1705" t="s">
        <v>657</v>
      </c>
      <c r="I1705"/>
    </row>
    <row r="1706" spans="1:9">
      <c r="A1706" t="s">
        <v>1755</v>
      </c>
      <c r="B1706" s="1" t="str">
        <f>"20203894.2"</f>
        <v>20203894.2</v>
      </c>
      <c r="C1706" t="s">
        <v>1772</v>
      </c>
      <c r="D1706" t="s">
        <v>1773</v>
      </c>
      <c r="E1706" s="2"/>
      <c r="F1706" t="s">
        <v>137</v>
      </c>
      <c r="G1706" t="s">
        <v>657</v>
      </c>
      <c r="H1706" t="s">
        <v>383</v>
      </c>
      <c r="I1706"/>
    </row>
    <row r="1707" spans="1:9">
      <c r="A1707" t="s">
        <v>1755</v>
      </c>
      <c r="B1707" s="1" t="str">
        <f>"20827885"</f>
        <v>20827885</v>
      </c>
      <c r="C1707" t="s">
        <v>225</v>
      </c>
      <c r="D1707" t="s">
        <v>1774</v>
      </c>
      <c r="E1707" s="2"/>
      <c r="F1707" t="s">
        <v>295</v>
      </c>
      <c r="G1707" t="s">
        <v>37</v>
      </c>
      <c r="H1707" t="s">
        <v>37</v>
      </c>
      <c r="I1707"/>
    </row>
    <row r="1708" spans="1:9">
      <c r="A1708" t="s">
        <v>1755</v>
      </c>
      <c r="B1708" s="1" t="str">
        <f>"20141480"</f>
        <v>20141480</v>
      </c>
      <c r="C1708" t="s">
        <v>225</v>
      </c>
      <c r="D1708" t="s">
        <v>1775</v>
      </c>
      <c r="E1708" s="2"/>
      <c r="F1708" t="s">
        <v>1134</v>
      </c>
      <c r="G1708" t="s">
        <v>120</v>
      </c>
      <c r="H1708" t="s">
        <v>120</v>
      </c>
      <c r="I1708"/>
    </row>
    <row r="1709" spans="1:9">
      <c r="A1709" t="s">
        <v>1755</v>
      </c>
      <c r="B1709" s="1" t="str">
        <f>"20096984"</f>
        <v>20096984</v>
      </c>
      <c r="C1709" t="s">
        <v>225</v>
      </c>
      <c r="D1709" t="s">
        <v>1776</v>
      </c>
      <c r="E1709" s="2"/>
      <c r="F1709" t="s">
        <v>90</v>
      </c>
      <c r="G1709" t="s">
        <v>37</v>
      </c>
      <c r="H1709" t="s">
        <v>37</v>
      </c>
      <c r="I1709"/>
    </row>
    <row r="1710" spans="1:9">
      <c r="A1710" t="s">
        <v>1755</v>
      </c>
      <c r="B1710" s="1" t="str">
        <f>"20827908"</f>
        <v>20827908</v>
      </c>
      <c r="C1710" t="s">
        <v>225</v>
      </c>
      <c r="D1710" t="s">
        <v>1777</v>
      </c>
      <c r="E1710" s="2"/>
      <c r="F1710" t="s">
        <v>1134</v>
      </c>
      <c r="G1710" t="s">
        <v>120</v>
      </c>
      <c r="H1710" t="s">
        <v>120</v>
      </c>
      <c r="I1710"/>
    </row>
    <row r="1711" spans="1:9">
      <c r="A1711" t="s">
        <v>1755</v>
      </c>
      <c r="B1711" s="1" t="str">
        <f>"20827854"</f>
        <v>20827854</v>
      </c>
      <c r="C1711" t="s">
        <v>225</v>
      </c>
      <c r="D1711" t="s">
        <v>1778</v>
      </c>
      <c r="E1711" s="2"/>
      <c r="F1711" t="s">
        <v>1779</v>
      </c>
      <c r="G1711" t="s">
        <v>122</v>
      </c>
      <c r="H1711" t="s">
        <v>122</v>
      </c>
      <c r="I1711"/>
    </row>
    <row r="1712" spans="1:9">
      <c r="A1712" t="s">
        <v>1755</v>
      </c>
      <c r="B1712" s="1" t="str">
        <f>"20827861"</f>
        <v>20827861</v>
      </c>
      <c r="C1712" t="s">
        <v>225</v>
      </c>
      <c r="D1712" t="s">
        <v>1780</v>
      </c>
      <c r="E1712" s="2"/>
      <c r="F1712" t="s">
        <v>1781</v>
      </c>
      <c r="G1712" t="s">
        <v>37</v>
      </c>
      <c r="H1712" t="s">
        <v>37</v>
      </c>
      <c r="I1712"/>
    </row>
    <row r="1713" spans="1:9">
      <c r="A1713" t="s">
        <v>1755</v>
      </c>
      <c r="B1713" s="1" t="str">
        <f>"20212817"</f>
        <v>20212817</v>
      </c>
      <c r="C1713" t="s">
        <v>1782</v>
      </c>
      <c r="D1713" t="s">
        <v>1783</v>
      </c>
      <c r="E1713" s="2"/>
      <c r="F1713" t="s">
        <v>877</v>
      </c>
      <c r="G1713" t="s">
        <v>1784</v>
      </c>
      <c r="H1713" t="s">
        <v>1784</v>
      </c>
      <c r="I1713"/>
    </row>
    <row r="1714" spans="1:9">
      <c r="A1714" t="s">
        <v>1755</v>
      </c>
      <c r="B1714" s="1" t="str">
        <f>"20509507"</f>
        <v>20509507</v>
      </c>
      <c r="C1714" t="s">
        <v>1782</v>
      </c>
      <c r="D1714" t="s">
        <v>1785</v>
      </c>
      <c r="E1714" s="2"/>
      <c r="F1714" t="s">
        <v>877</v>
      </c>
      <c r="G1714" t="s">
        <v>122</v>
      </c>
      <c r="H1714" t="s">
        <v>122</v>
      </c>
      <c r="I1714"/>
    </row>
    <row r="1715" spans="1:9">
      <c r="A1715" t="s">
        <v>1755</v>
      </c>
      <c r="B1715" s="1" t="str">
        <f>"20018641"</f>
        <v>20018641</v>
      </c>
      <c r="C1715" t="s">
        <v>1782</v>
      </c>
      <c r="D1715" t="s">
        <v>1786</v>
      </c>
      <c r="E1715" s="2"/>
      <c r="F1715" t="s">
        <v>877</v>
      </c>
      <c r="G1715" t="s">
        <v>122</v>
      </c>
      <c r="H1715" t="s">
        <v>122</v>
      </c>
      <c r="I1715"/>
    </row>
    <row r="1716" spans="1:9">
      <c r="A1716" t="s">
        <v>1755</v>
      </c>
      <c r="B1716" s="1" t="str">
        <f>"20509514"</f>
        <v>20509514</v>
      </c>
      <c r="C1716" t="s">
        <v>1782</v>
      </c>
      <c r="D1716" t="s">
        <v>1787</v>
      </c>
      <c r="E1716" s="2"/>
      <c r="F1716" t="s">
        <v>877</v>
      </c>
      <c r="G1716" t="s">
        <v>122</v>
      </c>
      <c r="H1716" t="s">
        <v>122</v>
      </c>
      <c r="I1716"/>
    </row>
    <row r="1717" spans="1:9">
      <c r="A1717" t="s">
        <v>1755</v>
      </c>
      <c r="B1717" s="1" t="str">
        <f>"20064327"</f>
        <v>20064327</v>
      </c>
      <c r="C1717" t="s">
        <v>1788</v>
      </c>
      <c r="D1717" t="s">
        <v>1789</v>
      </c>
      <c r="E1717" s="2"/>
      <c r="F1717" t="s">
        <v>105</v>
      </c>
      <c r="G1717" t="s">
        <v>122</v>
      </c>
      <c r="H1717" t="s">
        <v>122</v>
      </c>
      <c r="I1717"/>
    </row>
    <row r="1718" spans="1:9">
      <c r="A1718" t="s">
        <v>1755</v>
      </c>
      <c r="B1718" s="1" t="str">
        <f>"20064327.2"</f>
        <v>20064327.2</v>
      </c>
      <c r="C1718" t="s">
        <v>1788</v>
      </c>
      <c r="D1718" t="s">
        <v>1789</v>
      </c>
      <c r="E1718" s="2"/>
      <c r="F1718" t="s">
        <v>105</v>
      </c>
      <c r="G1718" t="s">
        <v>122</v>
      </c>
      <c r="H1718" t="s">
        <v>383</v>
      </c>
      <c r="I1718"/>
    </row>
    <row r="1719" spans="1:9">
      <c r="A1719" t="s">
        <v>1755</v>
      </c>
      <c r="B1719" s="1" t="str">
        <f>"20510022"</f>
        <v>20510022</v>
      </c>
      <c r="C1719" t="s">
        <v>1788</v>
      </c>
      <c r="D1719" t="s">
        <v>1790</v>
      </c>
      <c r="E1719" s="2"/>
      <c r="F1719" t="s">
        <v>105</v>
      </c>
      <c r="G1719" t="s">
        <v>122</v>
      </c>
      <c r="H1719" t="s">
        <v>156</v>
      </c>
      <c r="I1719"/>
    </row>
    <row r="1720" spans="1:9">
      <c r="A1720" t="s">
        <v>1755</v>
      </c>
      <c r="B1720" s="1" t="str">
        <f>"20632359"</f>
        <v>20632359</v>
      </c>
      <c r="C1720" t="s">
        <v>1788</v>
      </c>
      <c r="D1720" t="s">
        <v>1791</v>
      </c>
      <c r="E1720" s="2"/>
      <c r="F1720" t="s">
        <v>105</v>
      </c>
      <c r="G1720" t="s">
        <v>122</v>
      </c>
      <c r="H1720" t="s">
        <v>156</v>
      </c>
      <c r="I1720"/>
    </row>
    <row r="1721" spans="1:9">
      <c r="A1721" t="s">
        <v>1755</v>
      </c>
      <c r="B1721" s="1" t="str">
        <f>"20509447"</f>
        <v>20509447</v>
      </c>
      <c r="C1721" t="s">
        <v>1792</v>
      </c>
      <c r="D1721" t="s">
        <v>1793</v>
      </c>
      <c r="E1721" s="2"/>
      <c r="F1721" t="s">
        <v>137</v>
      </c>
      <c r="G1721" t="s">
        <v>156</v>
      </c>
      <c r="H1721" t="s">
        <v>156</v>
      </c>
      <c r="I1721"/>
    </row>
    <row r="1722" spans="1:9">
      <c r="A1722" t="s">
        <v>1755</v>
      </c>
      <c r="B1722" s="1" t="str">
        <f>"20108878"</f>
        <v>20108878</v>
      </c>
      <c r="C1722" t="s">
        <v>482</v>
      </c>
      <c r="D1722" t="s">
        <v>1794</v>
      </c>
      <c r="E1722" s="2"/>
      <c r="F1722" t="s">
        <v>1795</v>
      </c>
      <c r="G1722" t="s">
        <v>120</v>
      </c>
      <c r="H1722" t="s">
        <v>120</v>
      </c>
      <c r="I1722"/>
    </row>
    <row r="1723" spans="1:9">
      <c r="A1723" t="s">
        <v>1755</v>
      </c>
      <c r="B1723" s="1" t="str">
        <f>"20081522"</f>
        <v>20081522</v>
      </c>
      <c r="C1723" t="s">
        <v>482</v>
      </c>
      <c r="D1723" t="s">
        <v>1796</v>
      </c>
      <c r="E1723" s="2"/>
      <c r="F1723" t="s">
        <v>1797</v>
      </c>
      <c r="G1723" t="s">
        <v>120</v>
      </c>
      <c r="H1723" t="s">
        <v>120</v>
      </c>
      <c r="I1723"/>
    </row>
    <row r="1724" spans="1:9">
      <c r="A1724" t="s">
        <v>1755</v>
      </c>
      <c r="B1724" s="1" t="str">
        <f>"20064334"</f>
        <v>20064334</v>
      </c>
      <c r="C1724" t="s">
        <v>482</v>
      </c>
      <c r="D1724" t="s">
        <v>1798</v>
      </c>
      <c r="E1724" s="2"/>
      <c r="F1724" t="s">
        <v>1797</v>
      </c>
      <c r="G1724" t="s">
        <v>120</v>
      </c>
      <c r="H1724" t="s">
        <v>120</v>
      </c>
      <c r="I1724"/>
    </row>
    <row r="1725" spans="1:9">
      <c r="A1725" t="s">
        <v>1755</v>
      </c>
      <c r="B1725" s="1" t="str">
        <f>"20105020"</f>
        <v>20105020</v>
      </c>
      <c r="C1725" t="s">
        <v>482</v>
      </c>
      <c r="D1725" t="s">
        <v>1799</v>
      </c>
      <c r="E1725" s="2"/>
      <c r="F1725" t="s">
        <v>1134</v>
      </c>
      <c r="G1725" t="s">
        <v>120</v>
      </c>
      <c r="H1725" t="s">
        <v>120</v>
      </c>
      <c r="I1725"/>
    </row>
    <row r="1726" spans="1:9">
      <c r="A1726" t="s">
        <v>1755</v>
      </c>
      <c r="B1726" s="1" t="str">
        <f>"20018412"</f>
        <v>20018412</v>
      </c>
      <c r="C1726" t="s">
        <v>482</v>
      </c>
      <c r="D1726" t="s">
        <v>1800</v>
      </c>
      <c r="E1726" s="2"/>
      <c r="F1726" t="s">
        <v>1134</v>
      </c>
      <c r="G1726" t="s">
        <v>120</v>
      </c>
      <c r="H1726" t="s">
        <v>120</v>
      </c>
      <c r="I1726"/>
    </row>
    <row r="1727" spans="1:9">
      <c r="A1727" t="s">
        <v>1755</v>
      </c>
      <c r="B1727" s="1" t="str">
        <f>"20758081"</f>
        <v>20758081</v>
      </c>
      <c r="C1727" t="s">
        <v>482</v>
      </c>
      <c r="D1727" t="s">
        <v>1801</v>
      </c>
      <c r="E1727" s="2"/>
      <c r="F1727" t="s">
        <v>1134</v>
      </c>
      <c r="G1727" t="s">
        <v>120</v>
      </c>
      <c r="H1727" t="s">
        <v>120</v>
      </c>
      <c r="I1727"/>
    </row>
    <row r="1728" spans="1:9">
      <c r="A1728" t="s">
        <v>1755</v>
      </c>
      <c r="B1728" s="1" t="str">
        <f>"20026660"</f>
        <v>20026660</v>
      </c>
      <c r="C1728" t="s">
        <v>482</v>
      </c>
      <c r="D1728" t="s">
        <v>1802</v>
      </c>
      <c r="E1728" s="2"/>
      <c r="F1728" t="s">
        <v>1797</v>
      </c>
      <c r="G1728" t="s">
        <v>120</v>
      </c>
      <c r="H1728" t="s">
        <v>120</v>
      </c>
      <c r="I1728"/>
    </row>
    <row r="1729" spans="1:9">
      <c r="A1729" t="s">
        <v>1755</v>
      </c>
      <c r="B1729" s="1" t="str">
        <f>"20112905"</f>
        <v>20112905</v>
      </c>
      <c r="C1729" t="s">
        <v>482</v>
      </c>
      <c r="D1729" t="s">
        <v>1803</v>
      </c>
      <c r="E1729" s="2"/>
      <c r="F1729" t="s">
        <v>1134</v>
      </c>
      <c r="G1729" t="s">
        <v>120</v>
      </c>
      <c r="H1729" t="s">
        <v>120</v>
      </c>
      <c r="I1729"/>
    </row>
    <row r="1730" spans="1:9">
      <c r="A1730" t="s">
        <v>1755</v>
      </c>
      <c r="B1730" s="1" t="str">
        <f>"20194390"</f>
        <v>20194390</v>
      </c>
      <c r="C1730" t="s">
        <v>482</v>
      </c>
      <c r="D1730" t="s">
        <v>1804</v>
      </c>
      <c r="E1730" s="2"/>
      <c r="F1730" t="s">
        <v>1797</v>
      </c>
      <c r="G1730" t="s">
        <v>120</v>
      </c>
      <c r="H1730" t="s">
        <v>120</v>
      </c>
      <c r="I1730"/>
    </row>
    <row r="1731" spans="1:9">
      <c r="A1731" t="s">
        <v>1755</v>
      </c>
      <c r="B1731" s="1" t="str">
        <f>"20078787"</f>
        <v>20078787</v>
      </c>
      <c r="C1731" t="s">
        <v>482</v>
      </c>
      <c r="D1731" t="s">
        <v>1805</v>
      </c>
      <c r="E1731" s="2"/>
      <c r="F1731" t="s">
        <v>1134</v>
      </c>
      <c r="G1731" t="s">
        <v>120</v>
      </c>
      <c r="H1731" t="s">
        <v>120</v>
      </c>
      <c r="I1731"/>
    </row>
    <row r="1732" spans="1:9">
      <c r="A1732" t="s">
        <v>1755</v>
      </c>
      <c r="B1732" s="1" t="str">
        <f>"20038342"</f>
        <v>20038342</v>
      </c>
      <c r="C1732" t="s">
        <v>482</v>
      </c>
      <c r="D1732" t="s">
        <v>1806</v>
      </c>
      <c r="E1732" s="2"/>
      <c r="F1732" t="s">
        <v>1797</v>
      </c>
      <c r="G1732" t="s">
        <v>120</v>
      </c>
      <c r="H1732" t="s">
        <v>120</v>
      </c>
      <c r="I1732"/>
    </row>
    <row r="1733" spans="1:9">
      <c r="A1733" t="s">
        <v>1755</v>
      </c>
      <c r="B1733" s="1" t="str">
        <f>"20509460"</f>
        <v>20509460</v>
      </c>
      <c r="C1733" t="s">
        <v>1807</v>
      </c>
      <c r="D1733" t="s">
        <v>1808</v>
      </c>
      <c r="E1733" s="2"/>
      <c r="F1733" t="s">
        <v>1616</v>
      </c>
      <c r="G1733" t="s">
        <v>37</v>
      </c>
      <c r="H1733" t="s">
        <v>37</v>
      </c>
      <c r="I1733"/>
    </row>
    <row r="1734" spans="1:9">
      <c r="A1734" t="s">
        <v>1755</v>
      </c>
      <c r="B1734" s="1" t="str">
        <f>"20093839"</f>
        <v>20093839</v>
      </c>
      <c r="C1734" t="s">
        <v>1809</v>
      </c>
      <c r="D1734" t="s">
        <v>1810</v>
      </c>
      <c r="E1734" s="2"/>
      <c r="F1734" t="s">
        <v>31</v>
      </c>
      <c r="G1734" t="s">
        <v>156</v>
      </c>
      <c r="H1734" t="s">
        <v>156</v>
      </c>
      <c r="I1734"/>
    </row>
    <row r="1735" spans="1:9">
      <c r="A1735" t="s">
        <v>1755</v>
      </c>
      <c r="B1735" s="1" t="str">
        <f>"20038632"</f>
        <v>20038632</v>
      </c>
      <c r="C1735" t="s">
        <v>1809</v>
      </c>
      <c r="D1735" t="s">
        <v>1811</v>
      </c>
      <c r="E1735" s="2"/>
      <c r="F1735" t="s">
        <v>31</v>
      </c>
      <c r="G1735" t="s">
        <v>156</v>
      </c>
      <c r="H1735" t="s">
        <v>156</v>
      </c>
      <c r="I1735"/>
    </row>
    <row r="1736" spans="1:9">
      <c r="A1736" t="s">
        <v>1755</v>
      </c>
      <c r="B1736" s="1" t="str">
        <f>"20509477"</f>
        <v>20509477</v>
      </c>
      <c r="C1736" t="s">
        <v>1809</v>
      </c>
      <c r="D1736" t="s">
        <v>1812</v>
      </c>
      <c r="E1736" s="2"/>
      <c r="F1736" t="s">
        <v>31</v>
      </c>
      <c r="G1736" t="s">
        <v>156</v>
      </c>
      <c r="H1736" t="s">
        <v>156</v>
      </c>
      <c r="I1736"/>
    </row>
    <row r="1737" spans="1:9">
      <c r="A1737" t="s">
        <v>1755</v>
      </c>
      <c r="B1737" s="1" t="str">
        <f>"20064554"</f>
        <v>20064554</v>
      </c>
      <c r="C1737" t="s">
        <v>1813</v>
      </c>
      <c r="D1737" t="s">
        <v>1814</v>
      </c>
      <c r="E1737" s="2"/>
      <c r="F1737" t="s">
        <v>1815</v>
      </c>
      <c r="G1737" t="s">
        <v>122</v>
      </c>
      <c r="H1737" t="s">
        <v>122</v>
      </c>
      <c r="I1737"/>
    </row>
    <row r="1738" spans="1:9">
      <c r="A1738" t="s">
        <v>1755</v>
      </c>
      <c r="B1738" s="1" t="str">
        <f>"20109677"</f>
        <v>20109677</v>
      </c>
      <c r="C1738" t="s">
        <v>1816</v>
      </c>
      <c r="D1738" t="s">
        <v>1817</v>
      </c>
      <c r="E1738" s="2"/>
      <c r="F1738" t="s">
        <v>1616</v>
      </c>
      <c r="G1738" t="s">
        <v>120</v>
      </c>
      <c r="H1738" t="s">
        <v>120</v>
      </c>
      <c r="I1738"/>
    </row>
    <row r="1739" spans="1:9">
      <c r="A1739" t="s">
        <v>1755</v>
      </c>
      <c r="B1739" s="1" t="str">
        <f>"20513436"</f>
        <v>20513436</v>
      </c>
      <c r="C1739" t="s">
        <v>1816</v>
      </c>
      <c r="D1739" t="s">
        <v>1818</v>
      </c>
      <c r="E1739" s="2"/>
      <c r="F1739" t="s">
        <v>1616</v>
      </c>
      <c r="G1739" t="s">
        <v>120</v>
      </c>
      <c r="H1739" t="s">
        <v>120</v>
      </c>
      <c r="I1739"/>
    </row>
    <row r="1740" spans="1:9">
      <c r="A1740" t="s">
        <v>1755</v>
      </c>
      <c r="B1740" s="1" t="str">
        <f>"20109684"</f>
        <v>20109684</v>
      </c>
      <c r="C1740" t="s">
        <v>1816</v>
      </c>
      <c r="D1740" t="s">
        <v>1819</v>
      </c>
      <c r="E1740" s="2"/>
      <c r="F1740" t="s">
        <v>1616</v>
      </c>
      <c r="G1740" t="s">
        <v>120</v>
      </c>
      <c r="H1740" t="s">
        <v>120</v>
      </c>
      <c r="I1740"/>
    </row>
    <row r="1741" spans="1:9">
      <c r="A1741" t="s">
        <v>1755</v>
      </c>
      <c r="B1741" s="1" t="str">
        <f>"20040840"</f>
        <v>20040840</v>
      </c>
      <c r="C1741" t="s">
        <v>585</v>
      </c>
      <c r="D1741" t="s">
        <v>1820</v>
      </c>
      <c r="E1741" s="2"/>
      <c r="F1741" t="s">
        <v>63</v>
      </c>
      <c r="G1741" t="s">
        <v>120</v>
      </c>
      <c r="H1741" t="s">
        <v>120</v>
      </c>
      <c r="I1741"/>
    </row>
    <row r="1742" spans="1:9">
      <c r="A1742" t="s">
        <v>1755</v>
      </c>
      <c r="B1742" s="1" t="str">
        <f>"22489395"</f>
        <v>22489395</v>
      </c>
      <c r="C1742" t="s">
        <v>585</v>
      </c>
      <c r="D1742" t="s">
        <v>1820</v>
      </c>
      <c r="E1742" s="2"/>
      <c r="F1742" t="s">
        <v>105</v>
      </c>
      <c r="G1742" t="s">
        <v>120</v>
      </c>
      <c r="H1742" t="s">
        <v>120</v>
      </c>
      <c r="I1742"/>
    </row>
    <row r="1743" spans="1:9">
      <c r="A1743" t="s">
        <v>1755</v>
      </c>
      <c r="B1743" s="1" t="str">
        <f>"20040048"</f>
        <v>20040048</v>
      </c>
      <c r="C1743" t="s">
        <v>1821</v>
      </c>
      <c r="D1743" t="s">
        <v>1822</v>
      </c>
      <c r="E1743" s="2"/>
      <c r="F1743" t="s">
        <v>428</v>
      </c>
      <c r="G1743" t="s">
        <v>122</v>
      </c>
      <c r="H1743" t="s">
        <v>122</v>
      </c>
      <c r="I1743"/>
    </row>
    <row r="1744" spans="1:9">
      <c r="A1744" t="s">
        <v>1755</v>
      </c>
      <c r="B1744" s="1" t="str">
        <f>"20040048.2"</f>
        <v>20040048.2</v>
      </c>
      <c r="C1744" t="s">
        <v>1821</v>
      </c>
      <c r="D1744" t="s">
        <v>1822</v>
      </c>
      <c r="E1744" s="2"/>
      <c r="F1744" t="s">
        <v>428</v>
      </c>
      <c r="G1744" t="s">
        <v>122</v>
      </c>
      <c r="H1744" t="s">
        <v>383</v>
      </c>
      <c r="I1744"/>
    </row>
    <row r="1745" spans="1:9">
      <c r="A1745" t="s">
        <v>1755</v>
      </c>
      <c r="B1745" s="1" t="str">
        <f>"20052096"</f>
        <v>20052096</v>
      </c>
      <c r="C1745" t="s">
        <v>1821</v>
      </c>
      <c r="D1745" t="s">
        <v>1823</v>
      </c>
      <c r="E1745" s="2"/>
      <c r="F1745" t="s">
        <v>22</v>
      </c>
      <c r="G1745" t="s">
        <v>122</v>
      </c>
      <c r="H1745" t="s">
        <v>122</v>
      </c>
      <c r="I1745"/>
    </row>
    <row r="1746" spans="1:9">
      <c r="A1746" t="s">
        <v>1755</v>
      </c>
      <c r="B1746" s="1" t="str">
        <f>"20040000"</f>
        <v>20040000</v>
      </c>
      <c r="C1746" t="s">
        <v>1821</v>
      </c>
      <c r="D1746" t="s">
        <v>1824</v>
      </c>
      <c r="E1746" s="2"/>
      <c r="F1746" t="s">
        <v>105</v>
      </c>
      <c r="G1746" t="s">
        <v>122</v>
      </c>
      <c r="H1746" t="s">
        <v>122</v>
      </c>
      <c r="I1746"/>
    </row>
    <row r="1747" spans="1:9">
      <c r="A1747" t="s">
        <v>1755</v>
      </c>
      <c r="B1747" s="1" t="str">
        <f>"20024789"</f>
        <v>20024789</v>
      </c>
      <c r="C1747" t="s">
        <v>1821</v>
      </c>
      <c r="D1747" t="s">
        <v>1825</v>
      </c>
      <c r="E1747" s="2"/>
      <c r="F1747" t="s">
        <v>63</v>
      </c>
      <c r="G1747" t="s">
        <v>122</v>
      </c>
      <c r="H1747" t="s">
        <v>122</v>
      </c>
      <c r="I1747"/>
    </row>
    <row r="1748" spans="1:9">
      <c r="A1748" t="s">
        <v>1755</v>
      </c>
      <c r="B1748" s="1" t="str">
        <f>"20827878"</f>
        <v>20827878</v>
      </c>
      <c r="C1748" t="s">
        <v>1826</v>
      </c>
      <c r="D1748" t="s">
        <v>1827</v>
      </c>
      <c r="E1748" s="2"/>
      <c r="F1748" t="s">
        <v>1797</v>
      </c>
      <c r="G1748" t="s">
        <v>156</v>
      </c>
      <c r="H1748" t="s">
        <v>156</v>
      </c>
      <c r="I1748"/>
    </row>
    <row r="1749" spans="1:9">
      <c r="A1749" t="s">
        <v>1755</v>
      </c>
      <c r="B1749" s="1" t="str">
        <f>"20509446"</f>
        <v>20509446</v>
      </c>
      <c r="C1749" t="s">
        <v>1828</v>
      </c>
      <c r="D1749" t="s">
        <v>1793</v>
      </c>
      <c r="E1749" s="2"/>
      <c r="F1749" t="s">
        <v>68</v>
      </c>
      <c r="G1749" t="s">
        <v>156</v>
      </c>
      <c r="H1749" t="s">
        <v>156</v>
      </c>
      <c r="I1749"/>
    </row>
    <row r="1750" spans="1:9">
      <c r="A1750" t="s">
        <v>1755</v>
      </c>
      <c r="B1750" s="1" t="str">
        <f>"20027498"</f>
        <v>20027498</v>
      </c>
      <c r="C1750" t="s">
        <v>1829</v>
      </c>
      <c r="D1750" t="s">
        <v>1830</v>
      </c>
      <c r="E1750" s="2"/>
      <c r="F1750" t="s">
        <v>1831</v>
      </c>
      <c r="G1750" t="s">
        <v>122</v>
      </c>
      <c r="H1750" t="s">
        <v>122</v>
      </c>
      <c r="I1750"/>
    </row>
    <row r="1751" spans="1:9">
      <c r="A1751" t="s">
        <v>1832</v>
      </c>
      <c r="B1751" s="1" t="str">
        <f>"20508074"</f>
        <v>20508074</v>
      </c>
      <c r="C1751" t="s">
        <v>260</v>
      </c>
      <c r="D1751" t="s">
        <v>1833</v>
      </c>
      <c r="E1751" s="2"/>
      <c r="F1751" t="s">
        <v>1834</v>
      </c>
      <c r="G1751" t="s">
        <v>156</v>
      </c>
      <c r="H1751" t="s">
        <v>156</v>
      </c>
      <c r="I1751"/>
    </row>
    <row r="1752" spans="1:9">
      <c r="A1752" t="s">
        <v>1832</v>
      </c>
      <c r="B1752" s="1" t="str">
        <f>"20056773"</f>
        <v>20056773</v>
      </c>
      <c r="C1752" t="s">
        <v>260</v>
      </c>
      <c r="D1752" t="s">
        <v>1835</v>
      </c>
      <c r="E1752" s="2"/>
      <c r="F1752" t="s">
        <v>1836</v>
      </c>
      <c r="G1752" t="s">
        <v>156</v>
      </c>
      <c r="H1752" t="s">
        <v>156</v>
      </c>
      <c r="I1752"/>
    </row>
    <row r="1753" spans="1:9">
      <c r="A1753" t="s">
        <v>1832</v>
      </c>
      <c r="B1753" s="1" t="str">
        <f>"20056773.2"</f>
        <v>20056773.2</v>
      </c>
      <c r="C1753" t="s">
        <v>260</v>
      </c>
      <c r="D1753" t="s">
        <v>1835</v>
      </c>
      <c r="E1753" s="2"/>
      <c r="F1753" t="s">
        <v>1836</v>
      </c>
      <c r="G1753" t="s">
        <v>156</v>
      </c>
      <c r="H1753" t="s">
        <v>383</v>
      </c>
      <c r="I1753"/>
    </row>
    <row r="1754" spans="1:9">
      <c r="A1754" t="s">
        <v>1832</v>
      </c>
      <c r="B1754" s="1" t="str">
        <f>"12004006"</f>
        <v>12004006</v>
      </c>
      <c r="C1754" t="s">
        <v>260</v>
      </c>
      <c r="D1754" t="s">
        <v>1837</v>
      </c>
      <c r="E1754" s="2"/>
      <c r="F1754" t="s">
        <v>50</v>
      </c>
      <c r="G1754" t="s">
        <v>37</v>
      </c>
      <c r="H1754" t="s">
        <v>1088</v>
      </c>
      <c r="I1754"/>
    </row>
    <row r="1755" spans="1:9">
      <c r="A1755" t="s">
        <v>1832</v>
      </c>
      <c r="B1755" s="1" t="str">
        <f>"20056759"</f>
        <v>20056759</v>
      </c>
      <c r="C1755" t="s">
        <v>260</v>
      </c>
      <c r="D1755" t="s">
        <v>1838</v>
      </c>
      <c r="E1755" s="2"/>
      <c r="F1755" t="s">
        <v>1781</v>
      </c>
      <c r="G1755" t="s">
        <v>156</v>
      </c>
      <c r="H1755" t="s">
        <v>156</v>
      </c>
      <c r="I1755"/>
    </row>
    <row r="1756" spans="1:9">
      <c r="A1756" t="s">
        <v>1832</v>
      </c>
      <c r="B1756" s="1" t="str">
        <f>"20056759.2"</f>
        <v>20056759.2</v>
      </c>
      <c r="C1756" t="s">
        <v>260</v>
      </c>
      <c r="D1756" t="s">
        <v>1838</v>
      </c>
      <c r="E1756" s="2"/>
      <c r="F1756" t="s">
        <v>1781</v>
      </c>
      <c r="G1756" t="s">
        <v>156</v>
      </c>
      <c r="H1756" t="s">
        <v>383</v>
      </c>
      <c r="I1756"/>
    </row>
    <row r="1757" spans="1:9">
      <c r="A1757" t="s">
        <v>1832</v>
      </c>
      <c r="B1757" s="1" t="str">
        <f>"20108229"</f>
        <v>20108229</v>
      </c>
      <c r="C1757" t="s">
        <v>260</v>
      </c>
      <c r="D1757" t="s">
        <v>1839</v>
      </c>
      <c r="E1757" s="2"/>
      <c r="F1757" t="s">
        <v>1840</v>
      </c>
      <c r="G1757" t="s">
        <v>120</v>
      </c>
      <c r="H1757" t="s">
        <v>120</v>
      </c>
      <c r="I1757"/>
    </row>
    <row r="1758" spans="1:9">
      <c r="A1758" t="s">
        <v>1832</v>
      </c>
      <c r="B1758" s="1" t="str">
        <f>"20108229.2"</f>
        <v>20108229.2</v>
      </c>
      <c r="C1758" t="s">
        <v>260</v>
      </c>
      <c r="D1758" t="s">
        <v>1839</v>
      </c>
      <c r="E1758" s="2"/>
      <c r="F1758" t="s">
        <v>1840</v>
      </c>
      <c r="G1758" t="s">
        <v>120</v>
      </c>
      <c r="H1758" t="s">
        <v>1088</v>
      </c>
      <c r="I1758"/>
    </row>
    <row r="1759" spans="1:9">
      <c r="A1759" t="s">
        <v>1832</v>
      </c>
      <c r="B1759" s="1" t="str">
        <f>"20507688"</f>
        <v>20507688</v>
      </c>
      <c r="C1759" t="s">
        <v>260</v>
      </c>
      <c r="D1759" t="s">
        <v>1841</v>
      </c>
      <c r="E1759" s="2"/>
      <c r="F1759" t="s">
        <v>1781</v>
      </c>
      <c r="G1759" t="s">
        <v>37</v>
      </c>
      <c r="H1759" t="s">
        <v>37</v>
      </c>
      <c r="I1759"/>
    </row>
    <row r="1760" spans="1:9">
      <c r="A1760" t="s">
        <v>1832</v>
      </c>
      <c r="B1760" s="1" t="str">
        <f>"20507688.2"</f>
        <v>20507688.2</v>
      </c>
      <c r="C1760" t="s">
        <v>260</v>
      </c>
      <c r="D1760" t="s">
        <v>1841</v>
      </c>
      <c r="E1760" s="2"/>
      <c r="F1760" t="s">
        <v>1781</v>
      </c>
      <c r="G1760" t="s">
        <v>37</v>
      </c>
      <c r="H1760" t="s">
        <v>1088</v>
      </c>
      <c r="I1760"/>
    </row>
    <row r="1761" spans="1:9">
      <c r="A1761" t="s">
        <v>1832</v>
      </c>
      <c r="B1761" s="1" t="str">
        <f>"20047443"</f>
        <v>20047443</v>
      </c>
      <c r="C1761" t="s">
        <v>260</v>
      </c>
      <c r="D1761" t="s">
        <v>1842</v>
      </c>
      <c r="E1761" s="2"/>
      <c r="F1761" t="s">
        <v>1843</v>
      </c>
      <c r="G1761" t="s">
        <v>156</v>
      </c>
      <c r="H1761" t="s">
        <v>156</v>
      </c>
      <c r="I1761"/>
    </row>
    <row r="1762" spans="1:9">
      <c r="A1762" t="s">
        <v>1832</v>
      </c>
      <c r="B1762" s="1" t="str">
        <f>"20047443.2"</f>
        <v>20047443.2</v>
      </c>
      <c r="C1762" t="s">
        <v>260</v>
      </c>
      <c r="D1762" t="s">
        <v>1842</v>
      </c>
      <c r="E1762" s="2"/>
      <c r="F1762" t="s">
        <v>1843</v>
      </c>
      <c r="G1762" t="s">
        <v>156</v>
      </c>
      <c r="H1762" t="s">
        <v>383</v>
      </c>
      <c r="I1762"/>
    </row>
    <row r="1763" spans="1:9">
      <c r="A1763" t="s">
        <v>1832</v>
      </c>
      <c r="B1763" s="1" t="str">
        <f>"20507992"</f>
        <v>20507992</v>
      </c>
      <c r="C1763" t="s">
        <v>1844</v>
      </c>
      <c r="D1763" t="s">
        <v>887</v>
      </c>
      <c r="E1763" s="2"/>
      <c r="F1763" t="s">
        <v>1834</v>
      </c>
      <c r="G1763" t="s">
        <v>156</v>
      </c>
      <c r="H1763" t="s">
        <v>156</v>
      </c>
      <c r="I1763"/>
    </row>
    <row r="1764" spans="1:9">
      <c r="A1764" t="s">
        <v>1832</v>
      </c>
      <c r="B1764" s="1" t="str">
        <f>"20056834"</f>
        <v>20056834</v>
      </c>
      <c r="C1764" t="s">
        <v>1844</v>
      </c>
      <c r="D1764" t="s">
        <v>1845</v>
      </c>
      <c r="E1764" s="2"/>
      <c r="F1764" t="s">
        <v>1781</v>
      </c>
      <c r="G1764" t="s">
        <v>120</v>
      </c>
      <c r="H1764" t="s">
        <v>120</v>
      </c>
      <c r="I1764"/>
    </row>
    <row r="1765" spans="1:9">
      <c r="A1765" t="s">
        <v>1832</v>
      </c>
      <c r="B1765" s="1" t="str">
        <f>"20056834.2"</f>
        <v>20056834.2</v>
      </c>
      <c r="C1765" t="s">
        <v>1844</v>
      </c>
      <c r="D1765" t="s">
        <v>1845</v>
      </c>
      <c r="E1765" s="2"/>
      <c r="F1765" t="s">
        <v>1781</v>
      </c>
      <c r="G1765" t="s">
        <v>120</v>
      </c>
      <c r="H1765" t="s">
        <v>1088</v>
      </c>
      <c r="I1765"/>
    </row>
    <row r="1766" spans="1:9">
      <c r="A1766" t="s">
        <v>1832</v>
      </c>
      <c r="B1766" s="1" t="str">
        <f>"20056797"</f>
        <v>20056797</v>
      </c>
      <c r="C1766" t="s">
        <v>209</v>
      </c>
      <c r="D1766" t="s">
        <v>1846</v>
      </c>
      <c r="E1766" s="2"/>
      <c r="F1766" t="s">
        <v>1843</v>
      </c>
      <c r="G1766" t="s">
        <v>156</v>
      </c>
      <c r="H1766" t="s">
        <v>156</v>
      </c>
      <c r="I1766"/>
    </row>
    <row r="1767" spans="1:9">
      <c r="A1767" t="s">
        <v>1832</v>
      </c>
      <c r="B1767" s="1" t="str">
        <f>"20081201"</f>
        <v>20081201</v>
      </c>
      <c r="C1767" t="s">
        <v>209</v>
      </c>
      <c r="D1767" t="s">
        <v>1847</v>
      </c>
      <c r="E1767" s="2"/>
      <c r="F1767" t="s">
        <v>1848</v>
      </c>
      <c r="G1767" t="s">
        <v>156</v>
      </c>
      <c r="H1767" t="s">
        <v>156</v>
      </c>
      <c r="I1767"/>
    </row>
    <row r="1768" spans="1:9">
      <c r="A1768" t="s">
        <v>1832</v>
      </c>
      <c r="B1768" s="1" t="str">
        <f>"20087548"</f>
        <v>20087548</v>
      </c>
      <c r="C1768" t="s">
        <v>209</v>
      </c>
      <c r="D1768" t="s">
        <v>1849</v>
      </c>
      <c r="E1768" s="2"/>
      <c r="F1768" t="s">
        <v>1848</v>
      </c>
      <c r="G1768" t="s">
        <v>156</v>
      </c>
      <c r="H1768" t="s">
        <v>156</v>
      </c>
      <c r="I1768"/>
    </row>
    <row r="1769" spans="1:9">
      <c r="A1769" t="s">
        <v>1832</v>
      </c>
      <c r="B1769" s="1" t="str">
        <f>"20076665"</f>
        <v>20076665</v>
      </c>
      <c r="C1769" t="s">
        <v>209</v>
      </c>
      <c r="D1769" t="s">
        <v>1850</v>
      </c>
      <c r="E1769" s="2"/>
      <c r="F1769" t="s">
        <v>1851</v>
      </c>
      <c r="G1769" t="s">
        <v>156</v>
      </c>
      <c r="H1769" t="s">
        <v>156</v>
      </c>
      <c r="I1769"/>
    </row>
    <row r="1770" spans="1:9">
      <c r="A1770" t="s">
        <v>1832</v>
      </c>
      <c r="B1770" s="1" t="str">
        <f>"20056629"</f>
        <v>20056629</v>
      </c>
      <c r="C1770" t="s">
        <v>209</v>
      </c>
      <c r="D1770" t="s">
        <v>1852</v>
      </c>
      <c r="E1770" s="2"/>
      <c r="F1770" t="s">
        <v>1853</v>
      </c>
      <c r="G1770" t="s">
        <v>156</v>
      </c>
      <c r="H1770" t="s">
        <v>156</v>
      </c>
      <c r="I1770"/>
    </row>
    <row r="1771" spans="1:9">
      <c r="A1771" t="s">
        <v>1832</v>
      </c>
      <c r="B1771" s="1" t="str">
        <f>"20068073"</f>
        <v>20068073</v>
      </c>
      <c r="C1771" t="s">
        <v>209</v>
      </c>
      <c r="D1771" t="s">
        <v>1852</v>
      </c>
      <c r="E1771" s="2"/>
      <c r="F1771" t="s">
        <v>1854</v>
      </c>
      <c r="G1771" t="s">
        <v>156</v>
      </c>
      <c r="H1771" t="s">
        <v>156</v>
      </c>
      <c r="I1771"/>
    </row>
    <row r="1772" spans="1:9">
      <c r="A1772" t="s">
        <v>1832</v>
      </c>
      <c r="B1772" s="1" t="str">
        <f>"20052997"</f>
        <v>20052997</v>
      </c>
      <c r="C1772" t="s">
        <v>209</v>
      </c>
      <c r="D1772" t="s">
        <v>1855</v>
      </c>
      <c r="E1772" s="2"/>
      <c r="F1772" t="s">
        <v>1856</v>
      </c>
      <c r="G1772" t="s">
        <v>37</v>
      </c>
      <c r="H1772" t="s">
        <v>37</v>
      </c>
      <c r="I1772"/>
    </row>
    <row r="1773" spans="1:9">
      <c r="A1773" t="s">
        <v>1832</v>
      </c>
      <c r="B1773" s="1" t="str">
        <f>"20112844"</f>
        <v>20112844</v>
      </c>
      <c r="C1773" t="s">
        <v>209</v>
      </c>
      <c r="D1773" t="s">
        <v>1857</v>
      </c>
      <c r="E1773" s="2"/>
      <c r="F1773" t="s">
        <v>217</v>
      </c>
      <c r="G1773" t="s">
        <v>156</v>
      </c>
      <c r="H1773" t="s">
        <v>156</v>
      </c>
      <c r="I1773"/>
    </row>
    <row r="1774" spans="1:9">
      <c r="A1774" t="s">
        <v>1832</v>
      </c>
      <c r="B1774" s="1" t="str">
        <f>"20076764"</f>
        <v>20076764</v>
      </c>
      <c r="C1774" t="s">
        <v>209</v>
      </c>
      <c r="D1774" t="s">
        <v>1858</v>
      </c>
      <c r="E1774" s="2"/>
      <c r="F1774" t="s">
        <v>1834</v>
      </c>
      <c r="G1774" t="s">
        <v>122</v>
      </c>
      <c r="H1774" t="s">
        <v>122</v>
      </c>
      <c r="I1774"/>
    </row>
    <row r="1775" spans="1:9">
      <c r="A1775" t="s">
        <v>1832</v>
      </c>
      <c r="B1775" s="1" t="str">
        <f>"20087449"</f>
        <v>20087449</v>
      </c>
      <c r="C1775" t="s">
        <v>209</v>
      </c>
      <c r="D1775" t="s">
        <v>1859</v>
      </c>
      <c r="E1775" s="2"/>
      <c r="F1775" t="s">
        <v>217</v>
      </c>
      <c r="G1775" t="s">
        <v>156</v>
      </c>
      <c r="H1775" t="s">
        <v>156</v>
      </c>
      <c r="I1775"/>
    </row>
    <row r="1776" spans="1:9">
      <c r="A1776" t="s">
        <v>1832</v>
      </c>
      <c r="B1776" s="1" t="str">
        <f>"20034849"</f>
        <v>20034849</v>
      </c>
      <c r="C1776" t="s">
        <v>209</v>
      </c>
      <c r="D1776" t="s">
        <v>1860</v>
      </c>
      <c r="E1776" s="2"/>
      <c r="F1776" t="s">
        <v>217</v>
      </c>
      <c r="G1776" t="s">
        <v>156</v>
      </c>
      <c r="H1776" t="s">
        <v>156</v>
      </c>
      <c r="I1776"/>
    </row>
    <row r="1777" spans="1:9">
      <c r="A1777" t="s">
        <v>1832</v>
      </c>
      <c r="B1777" s="1" t="str">
        <f>"20068042"</f>
        <v>20068042</v>
      </c>
      <c r="C1777" t="s">
        <v>209</v>
      </c>
      <c r="D1777" t="s">
        <v>1860</v>
      </c>
      <c r="E1777" s="2"/>
      <c r="F1777" t="s">
        <v>1843</v>
      </c>
      <c r="G1777" t="s">
        <v>122</v>
      </c>
      <c r="H1777" t="s">
        <v>122</v>
      </c>
      <c r="I1777"/>
    </row>
    <row r="1778" spans="1:9">
      <c r="A1778" t="s">
        <v>1832</v>
      </c>
      <c r="B1778" s="1" t="str">
        <f>"20107475"</f>
        <v>20107475</v>
      </c>
      <c r="C1778" t="s">
        <v>209</v>
      </c>
      <c r="D1778" t="s">
        <v>1861</v>
      </c>
      <c r="E1778" s="2"/>
      <c r="F1778" t="s">
        <v>1862</v>
      </c>
      <c r="G1778" t="s">
        <v>122</v>
      </c>
      <c r="H1778" t="s">
        <v>122</v>
      </c>
      <c r="I1778"/>
    </row>
    <row r="1779" spans="1:9">
      <c r="A1779" t="s">
        <v>1832</v>
      </c>
      <c r="B1779" s="1" t="str">
        <f>"20028787"</f>
        <v>20028787</v>
      </c>
      <c r="C1779" t="s">
        <v>209</v>
      </c>
      <c r="D1779" t="s">
        <v>1863</v>
      </c>
      <c r="E1779" s="2"/>
      <c r="F1779" t="s">
        <v>832</v>
      </c>
      <c r="G1779" t="s">
        <v>122</v>
      </c>
      <c r="H1779" t="s">
        <v>122</v>
      </c>
      <c r="I1779"/>
    </row>
    <row r="1780" spans="1:9">
      <c r="A1780" t="s">
        <v>1832</v>
      </c>
      <c r="B1780" s="1" t="str">
        <f>"20056674"</f>
        <v>20056674</v>
      </c>
      <c r="C1780" t="s">
        <v>209</v>
      </c>
      <c r="D1780" t="s">
        <v>1864</v>
      </c>
      <c r="E1780" s="2"/>
      <c r="F1780" t="s">
        <v>502</v>
      </c>
      <c r="G1780" t="s">
        <v>156</v>
      </c>
      <c r="H1780" t="s">
        <v>156</v>
      </c>
      <c r="I1780"/>
    </row>
    <row r="1781" spans="1:9">
      <c r="A1781" t="s">
        <v>1832</v>
      </c>
      <c r="B1781" s="1" t="str">
        <f>"20051532"</f>
        <v>20051532</v>
      </c>
      <c r="C1781" t="s">
        <v>209</v>
      </c>
      <c r="D1781" t="s">
        <v>1865</v>
      </c>
      <c r="E1781" s="2"/>
      <c r="F1781" t="s">
        <v>1866</v>
      </c>
      <c r="G1781" t="s">
        <v>657</v>
      </c>
      <c r="H1781" t="s">
        <v>657</v>
      </c>
      <c r="I1781"/>
    </row>
    <row r="1782" spans="1:9">
      <c r="A1782" t="s">
        <v>1832</v>
      </c>
      <c r="B1782" s="1" t="str">
        <f>"20028268"</f>
        <v>20028268</v>
      </c>
      <c r="C1782" t="s">
        <v>209</v>
      </c>
      <c r="D1782" t="s">
        <v>1867</v>
      </c>
      <c r="E1782" s="2"/>
      <c r="F1782" t="s">
        <v>832</v>
      </c>
      <c r="G1782" t="s">
        <v>122</v>
      </c>
      <c r="H1782" t="s">
        <v>122</v>
      </c>
      <c r="I1782"/>
    </row>
    <row r="1783" spans="1:9">
      <c r="A1783" t="s">
        <v>1832</v>
      </c>
      <c r="B1783" s="1" t="str">
        <f>"20068295"</f>
        <v>20068295</v>
      </c>
      <c r="C1783" t="s">
        <v>209</v>
      </c>
      <c r="D1783" t="s">
        <v>1868</v>
      </c>
      <c r="E1783" s="2"/>
      <c r="F1783" t="s">
        <v>1843</v>
      </c>
      <c r="G1783" t="s">
        <v>122</v>
      </c>
      <c r="H1783" t="s">
        <v>122</v>
      </c>
      <c r="I1783"/>
    </row>
    <row r="1784" spans="1:9">
      <c r="A1784" t="s">
        <v>1832</v>
      </c>
      <c r="B1784" s="1" t="str">
        <f>"20052492"</f>
        <v>20052492</v>
      </c>
      <c r="C1784" t="s">
        <v>209</v>
      </c>
      <c r="D1784" t="s">
        <v>1869</v>
      </c>
      <c r="E1784" s="2"/>
      <c r="F1784" t="s">
        <v>1781</v>
      </c>
      <c r="G1784" t="s">
        <v>120</v>
      </c>
      <c r="H1784" t="s">
        <v>120</v>
      </c>
      <c r="I1784"/>
    </row>
    <row r="1785" spans="1:9">
      <c r="A1785" t="s">
        <v>1832</v>
      </c>
      <c r="B1785" s="1" t="str">
        <f>"20024734"</f>
        <v>20024734</v>
      </c>
      <c r="C1785" t="s">
        <v>209</v>
      </c>
      <c r="D1785" t="s">
        <v>1870</v>
      </c>
      <c r="E1785" s="2"/>
      <c r="F1785" t="s">
        <v>1843</v>
      </c>
      <c r="G1785" t="s">
        <v>122</v>
      </c>
      <c r="H1785" t="s">
        <v>122</v>
      </c>
      <c r="I1785"/>
    </row>
    <row r="1786" spans="1:9">
      <c r="A1786" t="s">
        <v>1832</v>
      </c>
      <c r="B1786" s="1" t="str">
        <f>"20068271"</f>
        <v>20068271</v>
      </c>
      <c r="C1786" t="s">
        <v>209</v>
      </c>
      <c r="D1786" t="s">
        <v>1871</v>
      </c>
      <c r="E1786" s="2"/>
      <c r="F1786" t="s">
        <v>1843</v>
      </c>
      <c r="G1786" t="s">
        <v>122</v>
      </c>
      <c r="H1786" t="s">
        <v>122</v>
      </c>
      <c r="I1786"/>
    </row>
    <row r="1787" spans="1:9">
      <c r="A1787" t="s">
        <v>1832</v>
      </c>
      <c r="B1787" s="1" t="str">
        <f>"20057077"</f>
        <v>20057077</v>
      </c>
      <c r="C1787" t="s">
        <v>225</v>
      </c>
      <c r="D1787" t="s">
        <v>1872</v>
      </c>
      <c r="E1787" s="2"/>
      <c r="F1787" t="s">
        <v>1843</v>
      </c>
      <c r="G1787" t="s">
        <v>156</v>
      </c>
      <c r="H1787" t="s">
        <v>156</v>
      </c>
      <c r="I1787"/>
    </row>
    <row r="1788" spans="1:9">
      <c r="A1788" t="s">
        <v>1832</v>
      </c>
      <c r="B1788" s="1" t="str">
        <f>"20508135"</f>
        <v>20508135</v>
      </c>
      <c r="C1788" t="s">
        <v>225</v>
      </c>
      <c r="D1788" t="s">
        <v>1873</v>
      </c>
      <c r="E1788" s="2"/>
      <c r="F1788" t="s">
        <v>1874</v>
      </c>
      <c r="G1788" t="s">
        <v>156</v>
      </c>
      <c r="H1788" t="s">
        <v>156</v>
      </c>
      <c r="I1788"/>
    </row>
    <row r="1789" spans="1:9">
      <c r="A1789" t="s">
        <v>1832</v>
      </c>
      <c r="B1789" s="1" t="str">
        <f>"20068103"</f>
        <v>20068103</v>
      </c>
      <c r="C1789" t="s">
        <v>225</v>
      </c>
      <c r="D1789" t="s">
        <v>1875</v>
      </c>
      <c r="E1789" s="2"/>
      <c r="F1789" t="s">
        <v>1876</v>
      </c>
      <c r="G1789" t="s">
        <v>120</v>
      </c>
      <c r="H1789" t="s">
        <v>120</v>
      </c>
      <c r="I1789"/>
    </row>
    <row r="1790" spans="1:9">
      <c r="A1790" t="s">
        <v>1832</v>
      </c>
      <c r="B1790" s="1" t="str">
        <f>"20056605"</f>
        <v>20056605</v>
      </c>
      <c r="C1790" t="s">
        <v>225</v>
      </c>
      <c r="D1790" t="s">
        <v>1877</v>
      </c>
      <c r="E1790" s="2"/>
      <c r="F1790" t="s">
        <v>1866</v>
      </c>
      <c r="G1790" t="s">
        <v>657</v>
      </c>
      <c r="H1790" t="s">
        <v>657</v>
      </c>
      <c r="I1790"/>
    </row>
    <row r="1791" spans="1:9">
      <c r="A1791" t="s">
        <v>1832</v>
      </c>
      <c r="B1791" s="1" t="str">
        <f>"20071509"</f>
        <v>20071509</v>
      </c>
      <c r="C1791" t="s">
        <v>225</v>
      </c>
      <c r="D1791" t="s">
        <v>1878</v>
      </c>
      <c r="E1791" s="2"/>
      <c r="F1791" t="s">
        <v>1843</v>
      </c>
      <c r="G1791" t="s">
        <v>156</v>
      </c>
      <c r="H1791" t="s">
        <v>156</v>
      </c>
      <c r="I1791"/>
    </row>
    <row r="1792" spans="1:9">
      <c r="A1792" t="s">
        <v>1832</v>
      </c>
      <c r="B1792" s="1" t="str">
        <f>"20056858"</f>
        <v>20056858</v>
      </c>
      <c r="C1792" t="s">
        <v>225</v>
      </c>
      <c r="D1792" t="s">
        <v>1879</v>
      </c>
      <c r="E1792" s="2"/>
      <c r="F1792" t="s">
        <v>1781</v>
      </c>
      <c r="G1792" t="s">
        <v>120</v>
      </c>
      <c r="H1792" t="s">
        <v>120</v>
      </c>
      <c r="I1792"/>
    </row>
    <row r="1793" spans="1:9">
      <c r="A1793" t="s">
        <v>1832</v>
      </c>
      <c r="B1793" s="1" t="str">
        <f>"20628925"</f>
        <v>20628925</v>
      </c>
      <c r="C1793" t="s">
        <v>225</v>
      </c>
      <c r="D1793" t="s">
        <v>1880</v>
      </c>
      <c r="E1793" s="2"/>
      <c r="F1793" t="s">
        <v>1840</v>
      </c>
      <c r="G1793" t="s">
        <v>120</v>
      </c>
      <c r="H1793" t="s">
        <v>120</v>
      </c>
      <c r="I1793"/>
    </row>
    <row r="1794" spans="1:9">
      <c r="A1794" t="s">
        <v>1832</v>
      </c>
      <c r="B1794" s="1" t="str">
        <f>"20508098"</f>
        <v>20508098</v>
      </c>
      <c r="C1794" t="s">
        <v>1881</v>
      </c>
      <c r="D1794" t="s">
        <v>1868</v>
      </c>
      <c r="E1794" s="2"/>
      <c r="F1794" t="s">
        <v>1836</v>
      </c>
      <c r="G1794" t="s">
        <v>122</v>
      </c>
      <c r="H1794" t="s">
        <v>122</v>
      </c>
      <c r="I1794"/>
    </row>
    <row r="1795" spans="1:9">
      <c r="A1795" t="s">
        <v>1832</v>
      </c>
      <c r="B1795" s="1" t="str">
        <f>"20508098.2"</f>
        <v>20508098.2</v>
      </c>
      <c r="C1795" t="s">
        <v>1881</v>
      </c>
      <c r="D1795" t="s">
        <v>1868</v>
      </c>
      <c r="E1795" s="2"/>
      <c r="F1795" t="s">
        <v>1836</v>
      </c>
      <c r="G1795" t="s">
        <v>122</v>
      </c>
      <c r="H1795" t="s">
        <v>383</v>
      </c>
      <c r="I1795"/>
    </row>
    <row r="1796" spans="1:9">
      <c r="A1796" t="s">
        <v>1832</v>
      </c>
      <c r="B1796" s="1" t="str">
        <f>"20507442"</f>
        <v>20507442</v>
      </c>
      <c r="C1796" t="s">
        <v>1881</v>
      </c>
      <c r="D1796" t="s">
        <v>1882</v>
      </c>
      <c r="E1796" s="2"/>
      <c r="F1796" t="s">
        <v>1836</v>
      </c>
      <c r="G1796" t="s">
        <v>122</v>
      </c>
      <c r="H1796" t="s">
        <v>122</v>
      </c>
      <c r="I1796"/>
    </row>
    <row r="1797" spans="1:9">
      <c r="A1797" t="s">
        <v>1832</v>
      </c>
      <c r="B1797" s="1" t="str">
        <f>"20507442.2"</f>
        <v>20507442.2</v>
      </c>
      <c r="C1797" t="s">
        <v>1881</v>
      </c>
      <c r="D1797" t="s">
        <v>1882</v>
      </c>
      <c r="E1797" s="2"/>
      <c r="F1797" t="s">
        <v>1836</v>
      </c>
      <c r="G1797" t="s">
        <v>122</v>
      </c>
      <c r="H1797" t="s">
        <v>383</v>
      </c>
      <c r="I1797"/>
    </row>
    <row r="1798" spans="1:9">
      <c r="A1798" t="s">
        <v>1832</v>
      </c>
      <c r="B1798" s="1" t="str">
        <f>"20112820"</f>
        <v>20112820</v>
      </c>
      <c r="C1798" t="s">
        <v>1883</v>
      </c>
      <c r="D1798" t="s">
        <v>1884</v>
      </c>
      <c r="E1798" s="2"/>
      <c r="F1798" t="s">
        <v>137</v>
      </c>
      <c r="G1798" t="s">
        <v>37</v>
      </c>
      <c r="H1798" t="s">
        <v>37</v>
      </c>
      <c r="I1798"/>
    </row>
    <row r="1799" spans="1:9">
      <c r="A1799" t="s">
        <v>1832</v>
      </c>
      <c r="B1799" s="1" t="str">
        <f>"20103316"</f>
        <v>20103316</v>
      </c>
      <c r="C1799" t="s">
        <v>1883</v>
      </c>
      <c r="D1799" t="s">
        <v>887</v>
      </c>
      <c r="E1799" s="2"/>
      <c r="F1799" t="s">
        <v>137</v>
      </c>
      <c r="G1799" t="s">
        <v>37</v>
      </c>
      <c r="H1799" t="s">
        <v>37</v>
      </c>
      <c r="I1799"/>
    </row>
    <row r="1800" spans="1:9">
      <c r="A1800" t="s">
        <v>1832</v>
      </c>
      <c r="B1800" s="1" t="str">
        <f>"20045746"</f>
        <v>20045746</v>
      </c>
      <c r="C1800" t="s">
        <v>1885</v>
      </c>
      <c r="D1800" t="s">
        <v>1886</v>
      </c>
      <c r="E1800" s="2"/>
      <c r="F1800" t="s">
        <v>36</v>
      </c>
      <c r="G1800" t="s">
        <v>37</v>
      </c>
      <c r="H1800" t="s">
        <v>38</v>
      </c>
      <c r="I1800"/>
    </row>
    <row r="1801" spans="1:9">
      <c r="A1801" t="s">
        <v>1832</v>
      </c>
      <c r="B1801" s="1" t="str">
        <f>"20507619"</f>
        <v>20507619</v>
      </c>
      <c r="C1801" t="s">
        <v>1885</v>
      </c>
      <c r="D1801" t="s">
        <v>1886</v>
      </c>
      <c r="E1801" s="2"/>
      <c r="F1801" t="s">
        <v>1856</v>
      </c>
      <c r="G1801" t="s">
        <v>37</v>
      </c>
      <c r="H1801" t="s">
        <v>37</v>
      </c>
      <c r="I1801"/>
    </row>
    <row r="1802" spans="1:9">
      <c r="A1802" t="s">
        <v>1832</v>
      </c>
      <c r="B1802" s="1" t="str">
        <f>"20507619.2"</f>
        <v>20507619.2</v>
      </c>
      <c r="C1802" t="s">
        <v>1885</v>
      </c>
      <c r="D1802" t="s">
        <v>1886</v>
      </c>
      <c r="E1802" s="2"/>
      <c r="F1802" t="s">
        <v>1856</v>
      </c>
      <c r="G1802" t="s">
        <v>37</v>
      </c>
      <c r="H1802" t="s">
        <v>1088</v>
      </c>
      <c r="I1802"/>
    </row>
    <row r="1803" spans="1:9">
      <c r="A1803" t="s">
        <v>1832</v>
      </c>
      <c r="B1803" s="1" t="str">
        <f>"20507725"</f>
        <v>20507725</v>
      </c>
      <c r="C1803" t="s">
        <v>1885</v>
      </c>
      <c r="D1803" t="s">
        <v>1887</v>
      </c>
      <c r="E1803" s="2"/>
      <c r="F1803" t="s">
        <v>1856</v>
      </c>
      <c r="G1803" t="s">
        <v>38</v>
      </c>
      <c r="H1803" t="s">
        <v>38</v>
      </c>
      <c r="I1803"/>
    </row>
    <row r="1804" spans="1:9">
      <c r="A1804" t="s">
        <v>1832</v>
      </c>
      <c r="B1804" s="1" t="str">
        <f>"20507855"</f>
        <v>20507855</v>
      </c>
      <c r="C1804" t="s">
        <v>1885</v>
      </c>
      <c r="D1804" t="s">
        <v>1887</v>
      </c>
      <c r="E1804" s="2"/>
      <c r="F1804" t="s">
        <v>1888</v>
      </c>
      <c r="G1804" t="s">
        <v>38</v>
      </c>
      <c r="H1804" t="s">
        <v>38</v>
      </c>
      <c r="I1804"/>
    </row>
    <row r="1805" spans="1:9">
      <c r="A1805" t="s">
        <v>1832</v>
      </c>
      <c r="B1805" s="1" t="str">
        <f>"20507855.2"</f>
        <v>20507855.2</v>
      </c>
      <c r="C1805" t="s">
        <v>1885</v>
      </c>
      <c r="D1805" t="s">
        <v>1887</v>
      </c>
      <c r="E1805" s="2"/>
      <c r="F1805" t="s">
        <v>1888</v>
      </c>
      <c r="G1805" t="s">
        <v>38</v>
      </c>
      <c r="H1805" t="s">
        <v>1088</v>
      </c>
      <c r="I1805"/>
    </row>
    <row r="1806" spans="1:9">
      <c r="A1806" t="s">
        <v>1832</v>
      </c>
      <c r="B1806" s="1" t="str">
        <f>"20523978"</f>
        <v>20523978</v>
      </c>
      <c r="C1806" t="s">
        <v>1885</v>
      </c>
      <c r="D1806" t="s">
        <v>1889</v>
      </c>
      <c r="E1806" s="2"/>
      <c r="F1806" t="s">
        <v>1888</v>
      </c>
      <c r="G1806" t="s">
        <v>38</v>
      </c>
      <c r="H1806" t="s">
        <v>38</v>
      </c>
      <c r="I1806"/>
    </row>
    <row r="1807" spans="1:9">
      <c r="A1807" t="s">
        <v>1832</v>
      </c>
      <c r="B1807" s="1" t="str">
        <f>"20523978.2"</f>
        <v>20523978.2</v>
      </c>
      <c r="C1807" t="s">
        <v>1885</v>
      </c>
      <c r="D1807" t="s">
        <v>1889</v>
      </c>
      <c r="E1807" s="2"/>
      <c r="F1807" t="s">
        <v>1888</v>
      </c>
      <c r="G1807" t="s">
        <v>38</v>
      </c>
      <c r="H1807" t="s">
        <v>1088</v>
      </c>
      <c r="I1807"/>
    </row>
    <row r="1808" spans="1:9">
      <c r="A1808" t="s">
        <v>1832</v>
      </c>
      <c r="B1808" s="1" t="str">
        <f>"20066512"</f>
        <v>20066512</v>
      </c>
      <c r="C1808" t="s">
        <v>1885</v>
      </c>
      <c r="D1808" t="s">
        <v>1890</v>
      </c>
      <c r="E1808" s="2"/>
      <c r="F1808" t="s">
        <v>736</v>
      </c>
      <c r="G1808" t="s">
        <v>38</v>
      </c>
      <c r="H1808" t="s">
        <v>38</v>
      </c>
      <c r="I1808"/>
    </row>
    <row r="1809" spans="1:9">
      <c r="A1809" t="s">
        <v>1832</v>
      </c>
      <c r="B1809" s="1" t="str">
        <f>"20507848"</f>
        <v>20507848</v>
      </c>
      <c r="C1809" t="s">
        <v>1885</v>
      </c>
      <c r="D1809" t="s">
        <v>1891</v>
      </c>
      <c r="E1809" s="2"/>
      <c r="F1809" t="s">
        <v>46</v>
      </c>
      <c r="G1809" t="s">
        <v>38</v>
      </c>
      <c r="H1809" t="s">
        <v>38</v>
      </c>
      <c r="I1809"/>
    </row>
    <row r="1810" spans="1:9">
      <c r="A1810" t="s">
        <v>1832</v>
      </c>
      <c r="B1810" s="1" t="str">
        <f>"20507848.2"</f>
        <v>20507848.2</v>
      </c>
      <c r="C1810" t="s">
        <v>1885</v>
      </c>
      <c r="D1810" t="s">
        <v>1891</v>
      </c>
      <c r="E1810" s="2"/>
      <c r="F1810" t="s">
        <v>46</v>
      </c>
      <c r="G1810" t="s">
        <v>38</v>
      </c>
      <c r="H1810" t="s">
        <v>1088</v>
      </c>
      <c r="I1810"/>
    </row>
    <row r="1811" spans="1:9">
      <c r="A1811" t="s">
        <v>1832</v>
      </c>
      <c r="B1811" s="1" t="str">
        <f>"20070151"</f>
        <v>20070151</v>
      </c>
      <c r="C1811" t="s">
        <v>1885</v>
      </c>
      <c r="D1811" t="s">
        <v>1880</v>
      </c>
      <c r="E1811" s="2"/>
      <c r="F1811" t="s">
        <v>105</v>
      </c>
      <c r="G1811" t="s">
        <v>37</v>
      </c>
      <c r="H1811" t="s">
        <v>38</v>
      </c>
      <c r="I1811"/>
    </row>
    <row r="1812" spans="1:9">
      <c r="A1812" t="s">
        <v>1832</v>
      </c>
      <c r="B1812" s="1" t="str">
        <f>"20094317"</f>
        <v>20094317</v>
      </c>
      <c r="C1812" t="s">
        <v>1892</v>
      </c>
      <c r="D1812" t="s">
        <v>1893</v>
      </c>
      <c r="E1812" s="2"/>
      <c r="F1812" t="s">
        <v>1353</v>
      </c>
      <c r="G1812" t="s">
        <v>37</v>
      </c>
      <c r="H1812" t="s">
        <v>37</v>
      </c>
      <c r="I1812"/>
    </row>
    <row r="1813" spans="1:9">
      <c r="A1813" t="s">
        <v>1832</v>
      </c>
      <c r="B1813" s="1" t="str">
        <f>"20094317.2"</f>
        <v>20094317.2</v>
      </c>
      <c r="C1813" t="s">
        <v>1892</v>
      </c>
      <c r="D1813" t="s">
        <v>1893</v>
      </c>
      <c r="E1813" s="2"/>
      <c r="F1813" t="s">
        <v>1353</v>
      </c>
      <c r="G1813" t="s">
        <v>37</v>
      </c>
      <c r="H1813" t="s">
        <v>1088</v>
      </c>
      <c r="I1813"/>
    </row>
    <row r="1814" spans="1:9">
      <c r="A1814" t="s">
        <v>1832</v>
      </c>
      <c r="B1814" s="1" t="str">
        <f>"20507695"</f>
        <v>20507695</v>
      </c>
      <c r="C1814" t="s">
        <v>1892</v>
      </c>
      <c r="D1814" t="s">
        <v>1894</v>
      </c>
      <c r="E1814" s="2"/>
      <c r="F1814" t="s">
        <v>1781</v>
      </c>
      <c r="G1814" t="s">
        <v>37</v>
      </c>
      <c r="H1814" t="s">
        <v>37</v>
      </c>
      <c r="I1814"/>
    </row>
    <row r="1815" spans="1:9">
      <c r="A1815" t="s">
        <v>1832</v>
      </c>
      <c r="B1815" s="1" t="str">
        <f>"20507695.2"</f>
        <v>20507695.2</v>
      </c>
      <c r="C1815" t="s">
        <v>1892</v>
      </c>
      <c r="D1815" t="s">
        <v>1894</v>
      </c>
      <c r="E1815" s="2"/>
      <c r="F1815" t="s">
        <v>1781</v>
      </c>
      <c r="G1815" t="s">
        <v>37</v>
      </c>
      <c r="H1815" t="s">
        <v>1088</v>
      </c>
      <c r="I1815"/>
    </row>
    <row r="1816" spans="1:9">
      <c r="A1816" t="s">
        <v>1832</v>
      </c>
      <c r="B1816" s="1" t="str">
        <f>"20070359"</f>
        <v>20070359</v>
      </c>
      <c r="C1816" t="s">
        <v>1892</v>
      </c>
      <c r="D1816" t="s">
        <v>1895</v>
      </c>
      <c r="E1816" s="2"/>
      <c r="F1816" t="s">
        <v>1781</v>
      </c>
      <c r="G1816" t="s">
        <v>37</v>
      </c>
      <c r="H1816" t="s">
        <v>37</v>
      </c>
      <c r="I1816"/>
    </row>
    <row r="1817" spans="1:9">
      <c r="A1817" t="s">
        <v>1832</v>
      </c>
      <c r="B1817" s="1" t="str">
        <f>"20070359.2"</f>
        <v>20070359.2</v>
      </c>
      <c r="C1817" t="s">
        <v>1892</v>
      </c>
      <c r="D1817" t="s">
        <v>1895</v>
      </c>
      <c r="E1817" s="2"/>
      <c r="F1817" t="s">
        <v>1781</v>
      </c>
      <c r="G1817" t="s">
        <v>37</v>
      </c>
      <c r="H1817" t="s">
        <v>1088</v>
      </c>
      <c r="I1817"/>
    </row>
    <row r="1818" spans="1:9">
      <c r="A1818" t="s">
        <v>1832</v>
      </c>
      <c r="B1818" s="1" t="str">
        <f>"12070720"</f>
        <v>12070720</v>
      </c>
      <c r="C1818" t="s">
        <v>1896</v>
      </c>
      <c r="D1818" t="s">
        <v>1897</v>
      </c>
      <c r="E1818" s="2"/>
      <c r="F1818" t="s">
        <v>1459</v>
      </c>
      <c r="G1818" t="s">
        <v>383</v>
      </c>
      <c r="H1818" t="s">
        <v>383</v>
      </c>
      <c r="I1818"/>
    </row>
    <row r="1819" spans="1:9">
      <c r="A1819" t="s">
        <v>1898</v>
      </c>
      <c r="B1819" s="1" t="str">
        <f>"12003217"</f>
        <v>12003217</v>
      </c>
      <c r="C1819" t="s">
        <v>260</v>
      </c>
      <c r="D1819" t="s">
        <v>1899</v>
      </c>
      <c r="E1819" s="2"/>
      <c r="F1819" t="s">
        <v>1459</v>
      </c>
      <c r="G1819" t="s">
        <v>383</v>
      </c>
      <c r="H1819" t="s">
        <v>383</v>
      </c>
      <c r="I1819"/>
    </row>
    <row r="1820" spans="1:9">
      <c r="A1820" t="s">
        <v>1898</v>
      </c>
      <c r="B1820" s="1" t="str">
        <f>"20026028"</f>
        <v>20026028</v>
      </c>
      <c r="C1820" t="s">
        <v>260</v>
      </c>
      <c r="D1820" t="s">
        <v>1900</v>
      </c>
      <c r="E1820" s="2"/>
      <c r="F1820" t="s">
        <v>124</v>
      </c>
      <c r="G1820" t="s">
        <v>120</v>
      </c>
      <c r="H1820" t="s">
        <v>120</v>
      </c>
      <c r="I1820"/>
    </row>
    <row r="1821" spans="1:9">
      <c r="A1821" t="s">
        <v>1898</v>
      </c>
      <c r="B1821" s="1" t="str">
        <f>"20058272"</f>
        <v>20058272</v>
      </c>
      <c r="C1821" t="s">
        <v>260</v>
      </c>
      <c r="D1821" t="s">
        <v>1901</v>
      </c>
      <c r="E1821" s="2"/>
      <c r="F1821" t="s">
        <v>433</v>
      </c>
      <c r="G1821" t="s">
        <v>156</v>
      </c>
      <c r="H1821" t="s">
        <v>156</v>
      </c>
      <c r="I1821"/>
    </row>
    <row r="1822" spans="1:9">
      <c r="A1822" t="s">
        <v>1898</v>
      </c>
      <c r="B1822" s="1" t="str">
        <f>"20058272.2"</f>
        <v>20058272.2</v>
      </c>
      <c r="C1822" t="s">
        <v>260</v>
      </c>
      <c r="D1822" t="s">
        <v>1901</v>
      </c>
      <c r="E1822" s="2"/>
      <c r="F1822" t="s">
        <v>433</v>
      </c>
      <c r="G1822" t="s">
        <v>156</v>
      </c>
      <c r="H1822" t="s">
        <v>383</v>
      </c>
      <c r="I1822"/>
    </row>
    <row r="1823" spans="1:9">
      <c r="A1823" t="s">
        <v>1898</v>
      </c>
      <c r="B1823" s="1" t="str">
        <f>"20016470"</f>
        <v>20016470</v>
      </c>
      <c r="C1823" t="s">
        <v>260</v>
      </c>
      <c r="D1823" t="s">
        <v>1902</v>
      </c>
      <c r="E1823" s="2"/>
      <c r="F1823" t="s">
        <v>428</v>
      </c>
      <c r="G1823" t="s">
        <v>156</v>
      </c>
      <c r="H1823" t="s">
        <v>156</v>
      </c>
      <c r="I1823"/>
    </row>
    <row r="1824" spans="1:9">
      <c r="A1824" t="s">
        <v>1898</v>
      </c>
      <c r="B1824" s="1" t="str">
        <f>"20533793"</f>
        <v>20533793</v>
      </c>
      <c r="C1824" t="s">
        <v>260</v>
      </c>
      <c r="D1824" t="s">
        <v>1902</v>
      </c>
      <c r="E1824" s="2"/>
      <c r="F1824" t="s">
        <v>1795</v>
      </c>
      <c r="G1824" t="s">
        <v>120</v>
      </c>
      <c r="H1824" t="s">
        <v>120</v>
      </c>
      <c r="I1824"/>
    </row>
    <row r="1825" spans="1:9">
      <c r="A1825" t="s">
        <v>1898</v>
      </c>
      <c r="B1825" s="1" t="str">
        <f>"12003229"</f>
        <v>12003229</v>
      </c>
      <c r="C1825" t="s">
        <v>260</v>
      </c>
      <c r="D1825" t="s">
        <v>1903</v>
      </c>
      <c r="E1825" s="2"/>
      <c r="F1825" t="s">
        <v>1904</v>
      </c>
      <c r="G1825" t="s">
        <v>122</v>
      </c>
      <c r="H1825" t="s">
        <v>383</v>
      </c>
      <c r="I1825"/>
    </row>
    <row r="1826" spans="1:9">
      <c r="A1826" t="s">
        <v>1898</v>
      </c>
      <c r="B1826" s="1" t="str">
        <f>"25538321"</f>
        <v>25538321</v>
      </c>
      <c r="C1826" t="s">
        <v>260</v>
      </c>
      <c r="D1826" t="s">
        <v>1905</v>
      </c>
      <c r="E1826" s="2"/>
      <c r="F1826" t="s">
        <v>1781</v>
      </c>
      <c r="G1826" t="s">
        <v>120</v>
      </c>
      <c r="H1826" t="s">
        <v>120</v>
      </c>
      <c r="I1826"/>
    </row>
    <row r="1827" spans="1:9">
      <c r="A1827" t="s">
        <v>1898</v>
      </c>
      <c r="B1827" s="1" t="str">
        <f>"12009007"</f>
        <v>12009007</v>
      </c>
      <c r="C1827" t="s">
        <v>260</v>
      </c>
      <c r="D1827" t="s">
        <v>1906</v>
      </c>
      <c r="E1827" s="2"/>
      <c r="F1827" t="s">
        <v>1459</v>
      </c>
      <c r="G1827" t="s">
        <v>122</v>
      </c>
      <c r="H1827" t="s">
        <v>383</v>
      </c>
      <c r="I1827"/>
    </row>
    <row r="1828" spans="1:9">
      <c r="A1828" t="s">
        <v>1898</v>
      </c>
      <c r="B1828" s="1" t="str">
        <f>"12009009"</f>
        <v>12009009</v>
      </c>
      <c r="C1828" t="s">
        <v>260</v>
      </c>
      <c r="D1828" t="s">
        <v>1907</v>
      </c>
      <c r="E1828" s="2"/>
      <c r="F1828" t="s">
        <v>1908</v>
      </c>
      <c r="G1828" t="s">
        <v>122</v>
      </c>
      <c r="H1828" t="s">
        <v>383</v>
      </c>
      <c r="I1828"/>
    </row>
    <row r="1829" spans="1:9">
      <c r="A1829" t="s">
        <v>1898</v>
      </c>
      <c r="B1829" s="1" t="str">
        <f>"12003262"</f>
        <v>12003262</v>
      </c>
      <c r="C1829" t="s">
        <v>260</v>
      </c>
      <c r="D1829" t="s">
        <v>1909</v>
      </c>
      <c r="E1829" s="2"/>
      <c r="F1829" t="s">
        <v>1910</v>
      </c>
      <c r="G1829" t="s">
        <v>383</v>
      </c>
      <c r="H1829" t="s">
        <v>383</v>
      </c>
      <c r="I1829"/>
    </row>
    <row r="1830" spans="1:9">
      <c r="A1830" t="s">
        <v>1898</v>
      </c>
      <c r="B1830" s="1" t="str">
        <f>"20016364"</f>
        <v>20016364</v>
      </c>
      <c r="C1830" t="s">
        <v>260</v>
      </c>
      <c r="D1830" t="s">
        <v>1911</v>
      </c>
      <c r="E1830" s="2"/>
      <c r="F1830" t="s">
        <v>1831</v>
      </c>
      <c r="G1830" t="s">
        <v>120</v>
      </c>
      <c r="H1830" t="s">
        <v>120</v>
      </c>
      <c r="I1830"/>
    </row>
    <row r="1831" spans="1:9">
      <c r="A1831" t="s">
        <v>1898</v>
      </c>
      <c r="B1831" s="1" t="str">
        <f>"20016364.2"</f>
        <v>20016364.2</v>
      </c>
      <c r="C1831" t="s">
        <v>260</v>
      </c>
      <c r="D1831" t="s">
        <v>1911</v>
      </c>
      <c r="E1831" s="2"/>
      <c r="F1831" t="s">
        <v>1831</v>
      </c>
      <c r="G1831" t="s">
        <v>120</v>
      </c>
      <c r="H1831" t="s">
        <v>1088</v>
      </c>
      <c r="I1831"/>
    </row>
    <row r="1832" spans="1:9">
      <c r="A1832" t="s">
        <v>1898</v>
      </c>
      <c r="B1832" s="1" t="str">
        <f>"12507270"</f>
        <v>12507270</v>
      </c>
      <c r="C1832" t="s">
        <v>260</v>
      </c>
      <c r="D1832" t="s">
        <v>1912</v>
      </c>
      <c r="E1832" s="2"/>
      <c r="F1832" t="s">
        <v>1913</v>
      </c>
      <c r="G1832" t="s">
        <v>122</v>
      </c>
      <c r="H1832" t="s">
        <v>383</v>
      </c>
      <c r="I1832"/>
    </row>
    <row r="1833" spans="1:9">
      <c r="A1833" t="s">
        <v>1898</v>
      </c>
      <c r="B1833" s="1" t="str">
        <f>"12036505"</f>
        <v>12036505</v>
      </c>
      <c r="C1833" t="s">
        <v>260</v>
      </c>
      <c r="D1833" t="s">
        <v>1914</v>
      </c>
      <c r="E1833" s="2"/>
      <c r="F1833" t="s">
        <v>1915</v>
      </c>
      <c r="G1833" t="s">
        <v>1369</v>
      </c>
      <c r="H1833" t="s">
        <v>383</v>
      </c>
      <c r="I1833"/>
    </row>
    <row r="1834" spans="1:9">
      <c r="A1834" t="s">
        <v>1898</v>
      </c>
      <c r="B1834" s="1" t="str">
        <f>"20510213"</f>
        <v>20510213</v>
      </c>
      <c r="C1834" t="s">
        <v>260</v>
      </c>
      <c r="D1834" t="s">
        <v>188</v>
      </c>
      <c r="E1834" s="2"/>
      <c r="F1834" t="s">
        <v>33</v>
      </c>
      <c r="G1834" t="s">
        <v>1711</v>
      </c>
      <c r="H1834" t="s">
        <v>1711</v>
      </c>
      <c r="I1834"/>
    </row>
    <row r="1835" spans="1:9">
      <c r="A1835" t="s">
        <v>1898</v>
      </c>
      <c r="B1835" s="1" t="str">
        <f>"20510213.2"</f>
        <v>20510213.2</v>
      </c>
      <c r="C1835" t="s">
        <v>260</v>
      </c>
      <c r="D1835" t="s">
        <v>188</v>
      </c>
      <c r="E1835" s="2"/>
      <c r="F1835" t="s">
        <v>1916</v>
      </c>
      <c r="G1835" t="s">
        <v>1711</v>
      </c>
      <c r="H1835" t="s">
        <v>383</v>
      </c>
      <c r="I1835"/>
    </row>
    <row r="1836" spans="1:9">
      <c r="A1836" t="s">
        <v>1898</v>
      </c>
      <c r="B1836" s="1" t="str">
        <f>"12009006"</f>
        <v>12009006</v>
      </c>
      <c r="C1836" t="s">
        <v>1354</v>
      </c>
      <c r="D1836" t="s">
        <v>1917</v>
      </c>
      <c r="E1836" s="2"/>
      <c r="F1836" t="s">
        <v>1459</v>
      </c>
      <c r="G1836" t="s">
        <v>122</v>
      </c>
      <c r="H1836" t="s">
        <v>383</v>
      </c>
      <c r="I1836"/>
    </row>
    <row r="1837" spans="1:9">
      <c r="A1837" t="s">
        <v>1898</v>
      </c>
      <c r="B1837" s="1" t="str">
        <f>"12009008"</f>
        <v>12009008</v>
      </c>
      <c r="C1837" t="s">
        <v>1354</v>
      </c>
      <c r="D1837" t="s">
        <v>1918</v>
      </c>
      <c r="E1837" s="2"/>
      <c r="F1837" t="s">
        <v>1459</v>
      </c>
      <c r="G1837" t="s">
        <v>122</v>
      </c>
      <c r="H1837" t="s">
        <v>383</v>
      </c>
      <c r="I1837"/>
    </row>
    <row r="1838" spans="1:9">
      <c r="A1838" t="s">
        <v>1898</v>
      </c>
      <c r="B1838" s="1" t="str">
        <f>"20860080"</f>
        <v>20860080</v>
      </c>
      <c r="C1838" t="s">
        <v>1919</v>
      </c>
      <c r="D1838" t="s">
        <v>1920</v>
      </c>
      <c r="E1838" s="2"/>
      <c r="F1838" t="s">
        <v>425</v>
      </c>
      <c r="G1838" t="s">
        <v>37</v>
      </c>
      <c r="H1838" t="s">
        <v>37</v>
      </c>
      <c r="I1838"/>
    </row>
    <row r="1839" spans="1:9">
      <c r="A1839" t="s">
        <v>1898</v>
      </c>
      <c r="B1839" s="1" t="str">
        <f>"20049188"</f>
        <v>20049188</v>
      </c>
      <c r="C1839" t="s">
        <v>1921</v>
      </c>
      <c r="D1839" t="s">
        <v>1922</v>
      </c>
      <c r="E1839" s="2"/>
      <c r="F1839" t="s">
        <v>68</v>
      </c>
      <c r="G1839" t="s">
        <v>156</v>
      </c>
      <c r="H1839" t="s">
        <v>156</v>
      </c>
      <c r="I1839"/>
    </row>
    <row r="1840" spans="1:9">
      <c r="A1840" t="s">
        <v>1898</v>
      </c>
      <c r="B1840" s="1" t="str">
        <f>"20015897"</f>
        <v>20015897</v>
      </c>
      <c r="C1840" t="s">
        <v>1921</v>
      </c>
      <c r="D1840" t="s">
        <v>1923</v>
      </c>
      <c r="E1840" s="2"/>
      <c r="F1840" t="s">
        <v>502</v>
      </c>
      <c r="G1840" t="s">
        <v>156</v>
      </c>
      <c r="H1840" t="s">
        <v>156</v>
      </c>
      <c r="I1840"/>
    </row>
    <row r="1841" spans="1:9">
      <c r="A1841" t="s">
        <v>1898</v>
      </c>
      <c r="B1841" s="1" t="str">
        <f>"20015897.2"</f>
        <v>20015897.2</v>
      </c>
      <c r="C1841" t="s">
        <v>1921</v>
      </c>
      <c r="D1841" t="s">
        <v>1923</v>
      </c>
      <c r="E1841" s="2"/>
      <c r="F1841" t="s">
        <v>502</v>
      </c>
      <c r="G1841" t="s">
        <v>156</v>
      </c>
      <c r="H1841" t="s">
        <v>383</v>
      </c>
      <c r="I1841"/>
    </row>
    <row r="1842" spans="1:9">
      <c r="A1842" t="s">
        <v>1898</v>
      </c>
      <c r="B1842" s="1" t="str">
        <f>"20049072"</f>
        <v>20049072</v>
      </c>
      <c r="C1842" t="s">
        <v>1921</v>
      </c>
      <c r="D1842" t="s">
        <v>1923</v>
      </c>
      <c r="E1842" s="2"/>
      <c r="F1842" t="s">
        <v>1924</v>
      </c>
      <c r="G1842" t="s">
        <v>156</v>
      </c>
      <c r="H1842" t="s">
        <v>156</v>
      </c>
      <c r="I1842"/>
    </row>
    <row r="1843" spans="1:9">
      <c r="A1843" t="s">
        <v>1898</v>
      </c>
      <c r="B1843" s="1" t="str">
        <f>"20066949"</f>
        <v>20066949</v>
      </c>
      <c r="C1843" t="s">
        <v>1921</v>
      </c>
      <c r="D1843" t="s">
        <v>1923</v>
      </c>
      <c r="E1843" s="2"/>
      <c r="F1843" t="s">
        <v>492</v>
      </c>
      <c r="G1843" t="s">
        <v>156</v>
      </c>
      <c r="H1843" t="s">
        <v>156</v>
      </c>
      <c r="I1843"/>
    </row>
    <row r="1844" spans="1:9">
      <c r="A1844" t="s">
        <v>1898</v>
      </c>
      <c r="B1844" s="1" t="str">
        <f>"20066949.2"</f>
        <v>20066949.2</v>
      </c>
      <c r="C1844" t="s">
        <v>1921</v>
      </c>
      <c r="D1844" t="s">
        <v>1923</v>
      </c>
      <c r="E1844" s="2"/>
      <c r="F1844" t="s">
        <v>492</v>
      </c>
      <c r="G1844" t="s">
        <v>156</v>
      </c>
      <c r="H1844" t="s">
        <v>383</v>
      </c>
      <c r="I1844"/>
    </row>
    <row r="1845" spans="1:9">
      <c r="A1845" t="s">
        <v>1898</v>
      </c>
      <c r="B1845" s="1" t="str">
        <f>"20066956"</f>
        <v>20066956</v>
      </c>
      <c r="C1845" t="s">
        <v>1921</v>
      </c>
      <c r="D1845" t="s">
        <v>1923</v>
      </c>
      <c r="E1845" s="2"/>
      <c r="F1845" t="s">
        <v>414</v>
      </c>
      <c r="G1845" t="s">
        <v>156</v>
      </c>
      <c r="H1845" t="s">
        <v>156</v>
      </c>
      <c r="I1845"/>
    </row>
    <row r="1846" spans="1:9">
      <c r="A1846" t="s">
        <v>1898</v>
      </c>
      <c r="B1846" s="1" t="str">
        <f>"20049171"</f>
        <v>20049171</v>
      </c>
      <c r="C1846" t="s">
        <v>1921</v>
      </c>
      <c r="D1846" t="s">
        <v>1925</v>
      </c>
      <c r="E1846" s="2"/>
      <c r="F1846" t="s">
        <v>1924</v>
      </c>
      <c r="G1846" t="s">
        <v>156</v>
      </c>
      <c r="H1846" t="s">
        <v>156</v>
      </c>
      <c r="I1846"/>
    </row>
    <row r="1847" spans="1:9">
      <c r="A1847" t="s">
        <v>1898</v>
      </c>
      <c r="B1847" s="1" t="str">
        <f>"20049171.2"</f>
        <v>20049171.2</v>
      </c>
      <c r="C1847" t="s">
        <v>1921</v>
      </c>
      <c r="D1847" t="s">
        <v>1925</v>
      </c>
      <c r="E1847" s="2"/>
      <c r="F1847" t="s">
        <v>1924</v>
      </c>
      <c r="G1847" t="s">
        <v>156</v>
      </c>
      <c r="H1847" t="s">
        <v>383</v>
      </c>
      <c r="I1847"/>
    </row>
    <row r="1848" spans="1:9">
      <c r="A1848" t="s">
        <v>1898</v>
      </c>
      <c r="B1848" s="1" t="str">
        <f>"20067007"</f>
        <v>20067007</v>
      </c>
      <c r="C1848" t="s">
        <v>1921</v>
      </c>
      <c r="D1848" t="s">
        <v>1925</v>
      </c>
      <c r="E1848" s="2"/>
      <c r="F1848" t="s">
        <v>428</v>
      </c>
      <c r="G1848" t="s">
        <v>156</v>
      </c>
      <c r="H1848" t="s">
        <v>156</v>
      </c>
      <c r="I1848"/>
    </row>
    <row r="1849" spans="1:9">
      <c r="A1849" t="s">
        <v>1898</v>
      </c>
      <c r="B1849" s="1" t="str">
        <f>"20067007.2"</f>
        <v>20067007.2</v>
      </c>
      <c r="C1849" t="s">
        <v>1921</v>
      </c>
      <c r="D1849" t="s">
        <v>1925</v>
      </c>
      <c r="E1849" s="2"/>
      <c r="F1849" t="s">
        <v>428</v>
      </c>
      <c r="G1849" t="s">
        <v>156</v>
      </c>
      <c r="H1849" t="s">
        <v>383</v>
      </c>
      <c r="I1849"/>
    </row>
    <row r="1850" spans="1:9">
      <c r="A1850" t="s">
        <v>1898</v>
      </c>
      <c r="B1850" s="1" t="str">
        <f>"20067014"</f>
        <v>20067014</v>
      </c>
      <c r="C1850" t="s">
        <v>1921</v>
      </c>
      <c r="D1850" t="s">
        <v>1925</v>
      </c>
      <c r="E1850" s="2"/>
      <c r="F1850" t="s">
        <v>414</v>
      </c>
      <c r="G1850" t="s">
        <v>156</v>
      </c>
      <c r="H1850" t="s">
        <v>156</v>
      </c>
      <c r="I1850"/>
    </row>
    <row r="1851" spans="1:9">
      <c r="A1851" t="s">
        <v>1898</v>
      </c>
      <c r="B1851" s="1" t="str">
        <f>"20067014.2"</f>
        <v>20067014.2</v>
      </c>
      <c r="C1851" t="s">
        <v>1921</v>
      </c>
      <c r="D1851" t="s">
        <v>1925</v>
      </c>
      <c r="E1851" s="2"/>
      <c r="F1851" t="s">
        <v>414</v>
      </c>
      <c r="G1851" t="s">
        <v>156</v>
      </c>
      <c r="H1851" t="s">
        <v>383</v>
      </c>
      <c r="I1851"/>
    </row>
    <row r="1852" spans="1:9">
      <c r="A1852" t="s">
        <v>1898</v>
      </c>
      <c r="B1852" s="1" t="str">
        <f>"20066963"</f>
        <v>20066963</v>
      </c>
      <c r="C1852" t="s">
        <v>1921</v>
      </c>
      <c r="D1852" t="s">
        <v>1926</v>
      </c>
      <c r="E1852" s="2"/>
      <c r="F1852" t="s">
        <v>414</v>
      </c>
      <c r="G1852" t="s">
        <v>156</v>
      </c>
      <c r="H1852" t="s">
        <v>156</v>
      </c>
      <c r="I1852"/>
    </row>
    <row r="1853" spans="1:9">
      <c r="A1853" t="s">
        <v>1898</v>
      </c>
      <c r="B1853" s="1" t="str">
        <f>"20066963.2"</f>
        <v>20066963.2</v>
      </c>
      <c r="C1853" t="s">
        <v>1921</v>
      </c>
      <c r="D1853" t="s">
        <v>1926</v>
      </c>
      <c r="E1853" s="2"/>
      <c r="F1853" t="s">
        <v>414</v>
      </c>
      <c r="G1853" t="s">
        <v>156</v>
      </c>
      <c r="H1853" t="s">
        <v>383</v>
      </c>
      <c r="I1853"/>
    </row>
    <row r="1854" spans="1:9">
      <c r="A1854" t="s">
        <v>1898</v>
      </c>
      <c r="B1854" s="1" t="str">
        <f>"20067205M"</f>
        <v>20067205M</v>
      </c>
      <c r="C1854" t="s">
        <v>1921</v>
      </c>
      <c r="D1854" t="s">
        <v>1926</v>
      </c>
      <c r="E1854" s="2"/>
      <c r="F1854" t="s">
        <v>492</v>
      </c>
      <c r="G1854" t="s">
        <v>156</v>
      </c>
      <c r="H1854" t="s">
        <v>156</v>
      </c>
      <c r="I1854"/>
    </row>
    <row r="1855" spans="1:9">
      <c r="A1855" t="s">
        <v>1898</v>
      </c>
      <c r="B1855" s="1" t="str">
        <f>"20067021"</f>
        <v>20067021</v>
      </c>
      <c r="C1855" t="s">
        <v>1921</v>
      </c>
      <c r="D1855" t="s">
        <v>1927</v>
      </c>
      <c r="E1855" s="2"/>
      <c r="F1855" t="s">
        <v>433</v>
      </c>
      <c r="G1855" t="s">
        <v>156</v>
      </c>
      <c r="H1855" t="s">
        <v>156</v>
      </c>
      <c r="I1855"/>
    </row>
    <row r="1856" spans="1:9">
      <c r="A1856" t="s">
        <v>1898</v>
      </c>
      <c r="B1856" s="1" t="str">
        <f>"20067021.2"</f>
        <v>20067021.2</v>
      </c>
      <c r="C1856" t="s">
        <v>1921</v>
      </c>
      <c r="D1856" t="s">
        <v>1927</v>
      </c>
      <c r="E1856" s="2"/>
      <c r="F1856" t="s">
        <v>433</v>
      </c>
      <c r="G1856" t="s">
        <v>156</v>
      </c>
      <c r="H1856" t="s">
        <v>383</v>
      </c>
      <c r="I1856"/>
    </row>
    <row r="1857" spans="1:9">
      <c r="A1857" t="s">
        <v>1898</v>
      </c>
      <c r="B1857" s="1" t="str">
        <f>"20067038"</f>
        <v>20067038</v>
      </c>
      <c r="C1857" t="s">
        <v>1921</v>
      </c>
      <c r="D1857" t="s">
        <v>1927</v>
      </c>
      <c r="E1857" s="2"/>
      <c r="F1857" t="s">
        <v>414</v>
      </c>
      <c r="G1857" t="s">
        <v>156</v>
      </c>
      <c r="H1857" t="s">
        <v>156</v>
      </c>
      <c r="I1857"/>
    </row>
    <row r="1858" spans="1:9">
      <c r="A1858" t="s">
        <v>1898</v>
      </c>
      <c r="B1858" s="1" t="str">
        <f>"20067038.2"</f>
        <v>20067038.2</v>
      </c>
      <c r="C1858" t="s">
        <v>1921</v>
      </c>
      <c r="D1858" t="s">
        <v>1927</v>
      </c>
      <c r="E1858" s="2"/>
      <c r="F1858" t="s">
        <v>414</v>
      </c>
      <c r="G1858" t="s">
        <v>156</v>
      </c>
      <c r="H1858" t="s">
        <v>383</v>
      </c>
      <c r="I1858"/>
    </row>
    <row r="1859" spans="1:9">
      <c r="A1859" t="s">
        <v>1898</v>
      </c>
      <c r="B1859" s="1" t="str">
        <f>"20067052"</f>
        <v>20067052</v>
      </c>
      <c r="C1859" t="s">
        <v>1921</v>
      </c>
      <c r="D1859" t="s">
        <v>1928</v>
      </c>
      <c r="E1859" s="2"/>
      <c r="F1859" t="s">
        <v>105</v>
      </c>
      <c r="G1859" t="s">
        <v>156</v>
      </c>
      <c r="H1859" t="s">
        <v>156</v>
      </c>
      <c r="I1859"/>
    </row>
    <row r="1860" spans="1:9">
      <c r="A1860" t="s">
        <v>1898</v>
      </c>
      <c r="B1860" s="1" t="str">
        <f>"20067052.2"</f>
        <v>20067052.2</v>
      </c>
      <c r="C1860" t="s">
        <v>1921</v>
      </c>
      <c r="D1860" t="s">
        <v>1928</v>
      </c>
      <c r="E1860" s="2"/>
      <c r="F1860" t="s">
        <v>105</v>
      </c>
      <c r="G1860" t="s">
        <v>156</v>
      </c>
      <c r="H1860" t="s">
        <v>383</v>
      </c>
      <c r="I1860"/>
    </row>
    <row r="1861" spans="1:9">
      <c r="A1861" t="s">
        <v>1898</v>
      </c>
      <c r="B1861" s="1" t="str">
        <f>"20050481"</f>
        <v>20050481</v>
      </c>
      <c r="C1861" t="s">
        <v>1921</v>
      </c>
      <c r="D1861" t="s">
        <v>1929</v>
      </c>
      <c r="E1861" s="2"/>
      <c r="F1861" t="s">
        <v>63</v>
      </c>
      <c r="G1861" t="s">
        <v>156</v>
      </c>
      <c r="H1861" t="s">
        <v>156</v>
      </c>
      <c r="I1861"/>
    </row>
    <row r="1862" spans="1:9">
      <c r="A1862" t="s">
        <v>1898</v>
      </c>
      <c r="B1862" s="1" t="str">
        <f>"20050481.2"</f>
        <v>20050481.2</v>
      </c>
      <c r="C1862" t="s">
        <v>1921</v>
      </c>
      <c r="D1862" t="s">
        <v>1929</v>
      </c>
      <c r="E1862" s="2"/>
      <c r="F1862" t="s">
        <v>63</v>
      </c>
      <c r="G1862" t="s">
        <v>156</v>
      </c>
      <c r="H1862" t="s">
        <v>383</v>
      </c>
      <c r="I1862"/>
    </row>
    <row r="1863" spans="1:9">
      <c r="A1863" t="s">
        <v>1898</v>
      </c>
      <c r="B1863" s="1" t="str">
        <f>"20509651"</f>
        <v>20509651</v>
      </c>
      <c r="C1863" t="s">
        <v>1921</v>
      </c>
      <c r="D1863" t="s">
        <v>1930</v>
      </c>
      <c r="E1863" s="2"/>
      <c r="F1863" t="s">
        <v>1501</v>
      </c>
      <c r="G1863" t="s">
        <v>156</v>
      </c>
      <c r="H1863" t="s">
        <v>156</v>
      </c>
      <c r="I1863"/>
    </row>
    <row r="1864" spans="1:9">
      <c r="A1864" t="s">
        <v>1898</v>
      </c>
      <c r="B1864" s="1" t="str">
        <f>"20509651.2"</f>
        <v>20509651.2</v>
      </c>
      <c r="C1864" t="s">
        <v>1921</v>
      </c>
      <c r="D1864" t="s">
        <v>1930</v>
      </c>
      <c r="E1864" s="2"/>
      <c r="F1864" t="s">
        <v>1501</v>
      </c>
      <c r="G1864" t="s">
        <v>156</v>
      </c>
      <c r="H1864" t="s">
        <v>383</v>
      </c>
      <c r="I1864"/>
    </row>
    <row r="1865" spans="1:9">
      <c r="A1865" t="s">
        <v>1898</v>
      </c>
      <c r="B1865" s="1" t="str">
        <f>"20067137"</f>
        <v>20067137</v>
      </c>
      <c r="C1865" t="s">
        <v>1921</v>
      </c>
      <c r="D1865" t="s">
        <v>1931</v>
      </c>
      <c r="E1865" s="2"/>
      <c r="F1865" t="s">
        <v>492</v>
      </c>
      <c r="G1865" t="s">
        <v>156</v>
      </c>
      <c r="H1865" t="s">
        <v>156</v>
      </c>
      <c r="I1865"/>
    </row>
    <row r="1866" spans="1:9">
      <c r="A1866" t="s">
        <v>1898</v>
      </c>
      <c r="B1866" s="1" t="str">
        <f>"20067137.2"</f>
        <v>20067137.2</v>
      </c>
      <c r="C1866" t="s">
        <v>1921</v>
      </c>
      <c r="D1866" t="s">
        <v>1931</v>
      </c>
      <c r="E1866" s="2"/>
      <c r="F1866" t="s">
        <v>492</v>
      </c>
      <c r="G1866" t="s">
        <v>156</v>
      </c>
      <c r="H1866" t="s">
        <v>383</v>
      </c>
      <c r="I1866"/>
    </row>
    <row r="1867" spans="1:9">
      <c r="A1867" t="s">
        <v>1898</v>
      </c>
      <c r="B1867" s="1" t="str">
        <f>"20067144"</f>
        <v>20067144</v>
      </c>
      <c r="C1867" t="s">
        <v>1921</v>
      </c>
      <c r="D1867" t="s">
        <v>1932</v>
      </c>
      <c r="E1867" s="2"/>
      <c r="F1867" t="s">
        <v>1933</v>
      </c>
      <c r="G1867" t="s">
        <v>156</v>
      </c>
      <c r="H1867" t="s">
        <v>156</v>
      </c>
      <c r="I1867"/>
    </row>
    <row r="1868" spans="1:9">
      <c r="A1868" t="s">
        <v>1898</v>
      </c>
      <c r="B1868" s="1" t="str">
        <f>"20509590"</f>
        <v>20509590</v>
      </c>
      <c r="C1868" t="s">
        <v>1921</v>
      </c>
      <c r="D1868" t="s">
        <v>123</v>
      </c>
      <c r="E1868" s="2"/>
      <c r="F1868" t="s">
        <v>105</v>
      </c>
      <c r="G1868" t="s">
        <v>156</v>
      </c>
      <c r="H1868" t="s">
        <v>156</v>
      </c>
      <c r="I1868"/>
    </row>
    <row r="1869" spans="1:9">
      <c r="A1869" t="s">
        <v>1898</v>
      </c>
      <c r="B1869" s="1" t="str">
        <f>"20509590.2"</f>
        <v>20509590.2</v>
      </c>
      <c r="C1869" t="s">
        <v>1921</v>
      </c>
      <c r="D1869" t="s">
        <v>123</v>
      </c>
      <c r="E1869" s="2"/>
      <c r="F1869" t="s">
        <v>105</v>
      </c>
      <c r="G1869" t="s">
        <v>156</v>
      </c>
      <c r="H1869" t="s">
        <v>383</v>
      </c>
      <c r="I1869"/>
    </row>
    <row r="1870" spans="1:9">
      <c r="A1870" t="s">
        <v>1898</v>
      </c>
      <c r="B1870" s="1" t="str">
        <f>"20787875"</f>
        <v>20787875</v>
      </c>
      <c r="C1870" t="s">
        <v>1921</v>
      </c>
      <c r="D1870" t="s">
        <v>1934</v>
      </c>
      <c r="E1870" s="2"/>
      <c r="F1870" t="s">
        <v>1935</v>
      </c>
      <c r="G1870" t="s">
        <v>156</v>
      </c>
      <c r="H1870" t="s">
        <v>156</v>
      </c>
      <c r="I1870"/>
    </row>
    <row r="1871" spans="1:9">
      <c r="A1871" t="s">
        <v>1898</v>
      </c>
      <c r="B1871" s="1" t="str">
        <f>"20787875.2"</f>
        <v>20787875.2</v>
      </c>
      <c r="C1871" t="s">
        <v>1921</v>
      </c>
      <c r="D1871" t="s">
        <v>1934</v>
      </c>
      <c r="E1871" s="2"/>
      <c r="F1871" t="s">
        <v>1935</v>
      </c>
      <c r="G1871" t="s">
        <v>156</v>
      </c>
      <c r="H1871" t="s">
        <v>383</v>
      </c>
      <c r="I1871"/>
    </row>
    <row r="1872" spans="1:9">
      <c r="A1872" t="s">
        <v>1898</v>
      </c>
      <c r="B1872" s="1" t="str">
        <f>"20049836"</f>
        <v>20049836</v>
      </c>
      <c r="C1872" t="s">
        <v>1921</v>
      </c>
      <c r="D1872" t="s">
        <v>1936</v>
      </c>
      <c r="E1872" s="2"/>
      <c r="F1872" t="s">
        <v>105</v>
      </c>
      <c r="G1872" t="s">
        <v>156</v>
      </c>
      <c r="H1872" t="s">
        <v>156</v>
      </c>
      <c r="I1872"/>
    </row>
    <row r="1873" spans="1:9">
      <c r="A1873" t="s">
        <v>1898</v>
      </c>
      <c r="B1873" s="1" t="str">
        <f>"20049836.2"</f>
        <v>20049836.2</v>
      </c>
      <c r="C1873" t="s">
        <v>1921</v>
      </c>
      <c r="D1873" t="s">
        <v>1936</v>
      </c>
      <c r="E1873" s="2"/>
      <c r="F1873" t="s">
        <v>105</v>
      </c>
      <c r="G1873" t="s">
        <v>156</v>
      </c>
      <c r="H1873" t="s">
        <v>383</v>
      </c>
      <c r="I1873"/>
    </row>
    <row r="1874" spans="1:9">
      <c r="A1874" t="s">
        <v>1898</v>
      </c>
      <c r="B1874" s="1" t="str">
        <f>"20049898"</f>
        <v>20049898</v>
      </c>
      <c r="C1874" t="s">
        <v>1921</v>
      </c>
      <c r="D1874" t="s">
        <v>1937</v>
      </c>
      <c r="E1874" s="2"/>
      <c r="F1874" t="s">
        <v>414</v>
      </c>
      <c r="G1874" t="s">
        <v>122</v>
      </c>
      <c r="H1874" t="s">
        <v>122</v>
      </c>
      <c r="I1874"/>
    </row>
    <row r="1875" spans="1:9">
      <c r="A1875" t="s">
        <v>1898</v>
      </c>
      <c r="B1875" s="1" t="str">
        <f>"20093570"</f>
        <v>20093570</v>
      </c>
      <c r="C1875" t="s">
        <v>1921</v>
      </c>
      <c r="D1875" t="s">
        <v>1937</v>
      </c>
      <c r="E1875" s="2"/>
      <c r="F1875" t="s">
        <v>1924</v>
      </c>
      <c r="G1875" t="s">
        <v>156</v>
      </c>
      <c r="H1875" t="s">
        <v>156</v>
      </c>
      <c r="I1875"/>
    </row>
    <row r="1876" spans="1:9">
      <c r="A1876" t="s">
        <v>1898</v>
      </c>
      <c r="B1876" s="1" t="str">
        <f>"20093570.2"</f>
        <v>20093570.2</v>
      </c>
      <c r="C1876" t="s">
        <v>1921</v>
      </c>
      <c r="D1876" t="s">
        <v>1937</v>
      </c>
      <c r="E1876" s="2"/>
      <c r="F1876" t="s">
        <v>1924</v>
      </c>
      <c r="G1876" t="s">
        <v>156</v>
      </c>
      <c r="H1876" t="s">
        <v>383</v>
      </c>
      <c r="I1876"/>
    </row>
    <row r="1877" spans="1:9">
      <c r="A1877" t="s">
        <v>1898</v>
      </c>
      <c r="B1877" s="1" t="str">
        <f>"20067366"</f>
        <v>20067366</v>
      </c>
      <c r="C1877" t="s">
        <v>1921</v>
      </c>
      <c r="D1877" t="s">
        <v>1938</v>
      </c>
      <c r="E1877" s="2"/>
      <c r="F1877" t="s">
        <v>414</v>
      </c>
      <c r="G1877" t="s">
        <v>156</v>
      </c>
      <c r="H1877" t="s">
        <v>156</v>
      </c>
      <c r="I1877"/>
    </row>
    <row r="1878" spans="1:9">
      <c r="A1878" t="s">
        <v>1898</v>
      </c>
      <c r="B1878" s="1" t="str">
        <f>"20067366.2"</f>
        <v>20067366.2</v>
      </c>
      <c r="C1878" t="s">
        <v>1921</v>
      </c>
      <c r="D1878" t="s">
        <v>1938</v>
      </c>
      <c r="E1878" s="2"/>
      <c r="F1878" t="s">
        <v>414</v>
      </c>
      <c r="G1878" t="s">
        <v>156</v>
      </c>
      <c r="H1878" t="s">
        <v>383</v>
      </c>
      <c r="I1878"/>
    </row>
    <row r="1879" spans="1:9">
      <c r="A1879" t="s">
        <v>1898</v>
      </c>
      <c r="B1879" s="1" t="str">
        <f>"20569129"</f>
        <v>20569129</v>
      </c>
      <c r="C1879" t="s">
        <v>1939</v>
      </c>
      <c r="D1879" t="s">
        <v>1940</v>
      </c>
      <c r="E1879" s="2"/>
      <c r="F1879" t="s">
        <v>1026</v>
      </c>
      <c r="G1879" t="s">
        <v>120</v>
      </c>
      <c r="H1879" t="s">
        <v>120</v>
      </c>
      <c r="I1879"/>
    </row>
    <row r="1880" spans="1:9">
      <c r="A1880" t="s">
        <v>1898</v>
      </c>
      <c r="B1880" s="1" t="str">
        <f>"20569143"</f>
        <v>20569143</v>
      </c>
      <c r="C1880" t="s">
        <v>1939</v>
      </c>
      <c r="D1880" t="s">
        <v>1941</v>
      </c>
      <c r="E1880" s="2"/>
      <c r="F1880" t="s">
        <v>425</v>
      </c>
      <c r="G1880" t="s">
        <v>120</v>
      </c>
      <c r="H1880" t="s">
        <v>120</v>
      </c>
      <c r="I1880"/>
    </row>
    <row r="1881" spans="1:9">
      <c r="A1881" t="s">
        <v>1898</v>
      </c>
      <c r="B1881" s="1" t="str">
        <f>"20106393"</f>
        <v>20106393</v>
      </c>
      <c r="C1881" t="s">
        <v>1844</v>
      </c>
      <c r="D1881" t="s">
        <v>123</v>
      </c>
      <c r="E1881" s="2"/>
      <c r="F1881" t="s">
        <v>433</v>
      </c>
      <c r="G1881" t="s">
        <v>156</v>
      </c>
      <c r="H1881" t="s">
        <v>156</v>
      </c>
      <c r="I1881"/>
    </row>
    <row r="1882" spans="1:9">
      <c r="A1882" t="s">
        <v>1898</v>
      </c>
      <c r="B1882" s="1" t="str">
        <f>"20106393.2"</f>
        <v>20106393.2</v>
      </c>
      <c r="C1882" t="s">
        <v>1844</v>
      </c>
      <c r="D1882" t="s">
        <v>123</v>
      </c>
      <c r="E1882" s="2"/>
      <c r="F1882" t="s">
        <v>433</v>
      </c>
      <c r="G1882" t="s">
        <v>156</v>
      </c>
      <c r="H1882" t="s">
        <v>383</v>
      </c>
      <c r="I1882"/>
    </row>
    <row r="1883" spans="1:9">
      <c r="A1883" t="s">
        <v>1898</v>
      </c>
      <c r="B1883" s="1" t="str">
        <f>"20057299"</f>
        <v>20057299</v>
      </c>
      <c r="C1883" t="s">
        <v>1844</v>
      </c>
      <c r="D1883" t="s">
        <v>1942</v>
      </c>
      <c r="E1883" s="2"/>
      <c r="F1883" t="s">
        <v>433</v>
      </c>
      <c r="G1883" t="s">
        <v>156</v>
      </c>
      <c r="H1883" t="s">
        <v>156</v>
      </c>
      <c r="I1883"/>
    </row>
    <row r="1884" spans="1:9">
      <c r="A1884" t="s">
        <v>1898</v>
      </c>
      <c r="B1884" s="1" t="str">
        <f>"20057299.2"</f>
        <v>20057299.2</v>
      </c>
      <c r="C1884" t="s">
        <v>1844</v>
      </c>
      <c r="D1884" t="s">
        <v>1942</v>
      </c>
      <c r="E1884" s="2"/>
      <c r="F1884" t="s">
        <v>433</v>
      </c>
      <c r="G1884" t="s">
        <v>156</v>
      </c>
      <c r="H1884" t="s">
        <v>383</v>
      </c>
      <c r="I1884"/>
    </row>
    <row r="1885" spans="1:9">
      <c r="A1885" t="s">
        <v>1898</v>
      </c>
      <c r="B1885" s="1" t="str">
        <f>"20057404"</f>
        <v>20057404</v>
      </c>
      <c r="C1885" t="s">
        <v>1844</v>
      </c>
      <c r="D1885" t="s">
        <v>1943</v>
      </c>
      <c r="E1885" s="2"/>
      <c r="F1885" t="s">
        <v>1944</v>
      </c>
      <c r="G1885" t="s">
        <v>120</v>
      </c>
      <c r="H1885" t="s">
        <v>120</v>
      </c>
      <c r="I1885"/>
    </row>
    <row r="1886" spans="1:9">
      <c r="A1886" t="s">
        <v>1898</v>
      </c>
      <c r="B1886" s="1" t="str">
        <f>"20057404.2"</f>
        <v>20057404.2</v>
      </c>
      <c r="C1886" t="s">
        <v>1844</v>
      </c>
      <c r="D1886" t="s">
        <v>1943</v>
      </c>
      <c r="E1886" s="2"/>
      <c r="F1886" t="s">
        <v>1944</v>
      </c>
      <c r="G1886" t="s">
        <v>120</v>
      </c>
      <c r="H1886" t="s">
        <v>1088</v>
      </c>
      <c r="I1886"/>
    </row>
    <row r="1887" spans="1:9">
      <c r="A1887" t="s">
        <v>1898</v>
      </c>
      <c r="B1887" s="1" t="str">
        <f>"20194149"</f>
        <v>20194149</v>
      </c>
      <c r="C1887" t="s">
        <v>423</v>
      </c>
      <c r="D1887" t="s">
        <v>1945</v>
      </c>
      <c r="E1887" s="2"/>
      <c r="F1887" t="s">
        <v>425</v>
      </c>
      <c r="G1887" t="s">
        <v>37</v>
      </c>
      <c r="H1887" t="s">
        <v>37</v>
      </c>
      <c r="I1887"/>
    </row>
    <row r="1888" spans="1:9">
      <c r="A1888" t="s">
        <v>1898</v>
      </c>
      <c r="B1888" s="1" t="str">
        <f>"12569273"</f>
        <v>12569273</v>
      </c>
      <c r="C1888" t="s">
        <v>423</v>
      </c>
      <c r="D1888" t="s">
        <v>1917</v>
      </c>
      <c r="E1888" s="2"/>
      <c r="F1888" t="s">
        <v>1946</v>
      </c>
      <c r="G1888" t="s">
        <v>37</v>
      </c>
      <c r="H1888" t="s">
        <v>1088</v>
      </c>
      <c r="I1888"/>
    </row>
    <row r="1889" spans="1:9">
      <c r="A1889" t="s">
        <v>1898</v>
      </c>
      <c r="B1889" s="1" t="str">
        <f>"20271893"</f>
        <v>20271893</v>
      </c>
      <c r="C1889" t="s">
        <v>423</v>
      </c>
      <c r="D1889" t="s">
        <v>1947</v>
      </c>
      <c r="E1889" s="2"/>
      <c r="F1889" t="s">
        <v>1948</v>
      </c>
      <c r="G1889" t="s">
        <v>120</v>
      </c>
      <c r="H1889" t="s">
        <v>120</v>
      </c>
      <c r="I1889"/>
    </row>
    <row r="1890" spans="1:9">
      <c r="A1890" t="s">
        <v>1898</v>
      </c>
      <c r="B1890" s="1" t="str">
        <f>"20272067"</f>
        <v>20272067</v>
      </c>
      <c r="C1890" t="s">
        <v>423</v>
      </c>
      <c r="D1890" t="s">
        <v>1949</v>
      </c>
      <c r="E1890" s="2"/>
      <c r="F1890" t="s">
        <v>1948</v>
      </c>
      <c r="G1890" t="s">
        <v>120</v>
      </c>
      <c r="H1890" t="s">
        <v>120</v>
      </c>
      <c r="I1890"/>
    </row>
    <row r="1891" spans="1:9">
      <c r="A1891" t="s">
        <v>1898</v>
      </c>
      <c r="B1891" s="1" t="str">
        <f>"20271886"</f>
        <v>20271886</v>
      </c>
      <c r="C1891" t="s">
        <v>423</v>
      </c>
      <c r="D1891" t="s">
        <v>1950</v>
      </c>
      <c r="E1891" s="2"/>
      <c r="F1891" t="s">
        <v>1948</v>
      </c>
      <c r="G1891" t="s">
        <v>120</v>
      </c>
      <c r="H1891" t="s">
        <v>120</v>
      </c>
      <c r="I1891"/>
    </row>
    <row r="1892" spans="1:9">
      <c r="A1892" t="s">
        <v>1898</v>
      </c>
      <c r="B1892" s="1" t="str">
        <f>"20271855"</f>
        <v>20271855</v>
      </c>
      <c r="C1892" t="s">
        <v>423</v>
      </c>
      <c r="D1892" t="s">
        <v>1951</v>
      </c>
      <c r="E1892" s="2"/>
      <c r="F1892" t="s">
        <v>1948</v>
      </c>
      <c r="G1892" t="s">
        <v>120</v>
      </c>
      <c r="H1892" t="s">
        <v>120</v>
      </c>
      <c r="I1892"/>
    </row>
    <row r="1893" spans="1:9">
      <c r="A1893" t="s">
        <v>1898</v>
      </c>
      <c r="B1893" s="1" t="str">
        <f>"20271916"</f>
        <v>20271916</v>
      </c>
      <c r="C1893" t="s">
        <v>423</v>
      </c>
      <c r="D1893" t="s">
        <v>1952</v>
      </c>
      <c r="E1893" s="2"/>
      <c r="F1893" t="s">
        <v>1948</v>
      </c>
      <c r="G1893" t="s">
        <v>120</v>
      </c>
      <c r="H1893" t="s">
        <v>120</v>
      </c>
      <c r="I1893"/>
    </row>
    <row r="1894" spans="1:9">
      <c r="A1894" t="s">
        <v>1898</v>
      </c>
      <c r="B1894" s="1" t="str">
        <f>"20271917"</f>
        <v>20271917</v>
      </c>
      <c r="C1894" t="s">
        <v>423</v>
      </c>
      <c r="D1894" t="s">
        <v>1953</v>
      </c>
      <c r="E1894" s="2"/>
      <c r="F1894" t="s">
        <v>1948</v>
      </c>
      <c r="G1894" t="s">
        <v>120</v>
      </c>
      <c r="H1894" t="s">
        <v>120</v>
      </c>
      <c r="I1894"/>
    </row>
    <row r="1895" spans="1:9">
      <c r="A1895" t="s">
        <v>1898</v>
      </c>
      <c r="B1895" s="1" t="str">
        <f>"12155275"</f>
        <v>12155275</v>
      </c>
      <c r="C1895" t="s">
        <v>423</v>
      </c>
      <c r="D1895" t="s">
        <v>1954</v>
      </c>
      <c r="E1895" s="2"/>
      <c r="F1895" t="s">
        <v>1288</v>
      </c>
      <c r="G1895" t="s">
        <v>122</v>
      </c>
      <c r="H1895" t="s">
        <v>383</v>
      </c>
      <c r="I1895"/>
    </row>
    <row r="1896" spans="1:9">
      <c r="A1896" t="s">
        <v>1898</v>
      </c>
      <c r="B1896" s="1" t="str">
        <f>"20191368"</f>
        <v>20191368</v>
      </c>
      <c r="C1896" t="s">
        <v>423</v>
      </c>
      <c r="D1896" t="s">
        <v>1955</v>
      </c>
      <c r="E1896" s="2"/>
      <c r="F1896" t="s">
        <v>425</v>
      </c>
      <c r="G1896" t="s">
        <v>37</v>
      </c>
      <c r="H1896" t="s">
        <v>37</v>
      </c>
      <c r="I1896"/>
    </row>
    <row r="1897" spans="1:9">
      <c r="A1897" t="s">
        <v>1898</v>
      </c>
      <c r="B1897" s="1" t="str">
        <f>"20036294"</f>
        <v>20036294</v>
      </c>
      <c r="C1897" t="s">
        <v>209</v>
      </c>
      <c r="D1897" t="s">
        <v>1956</v>
      </c>
      <c r="E1897" s="2"/>
      <c r="F1897" t="s">
        <v>129</v>
      </c>
      <c r="G1897" t="s">
        <v>122</v>
      </c>
      <c r="H1897" t="s">
        <v>122</v>
      </c>
      <c r="I1897"/>
    </row>
    <row r="1898" spans="1:9">
      <c r="A1898" t="s">
        <v>1898</v>
      </c>
      <c r="B1898" s="1" t="str">
        <f>"20016146"</f>
        <v>20016146</v>
      </c>
      <c r="C1898" t="s">
        <v>209</v>
      </c>
      <c r="D1898" t="s">
        <v>1957</v>
      </c>
      <c r="E1898" s="2"/>
      <c r="F1898" t="s">
        <v>105</v>
      </c>
      <c r="G1898" t="s">
        <v>122</v>
      </c>
      <c r="H1898" t="s">
        <v>122</v>
      </c>
      <c r="I1898"/>
    </row>
    <row r="1899" spans="1:9">
      <c r="A1899" t="s">
        <v>1898</v>
      </c>
      <c r="B1899" s="1" t="str">
        <f>"20159221"</f>
        <v>20159221</v>
      </c>
      <c r="C1899" t="s">
        <v>209</v>
      </c>
      <c r="D1899" t="s">
        <v>1958</v>
      </c>
      <c r="E1899" s="2"/>
      <c r="F1899" t="s">
        <v>1795</v>
      </c>
      <c r="G1899" t="s">
        <v>37</v>
      </c>
      <c r="H1899" t="s">
        <v>37</v>
      </c>
      <c r="I1899"/>
    </row>
    <row r="1900" spans="1:9">
      <c r="A1900" t="s">
        <v>1898</v>
      </c>
      <c r="B1900" s="1" t="str">
        <f>"20507312"</f>
        <v>20507312</v>
      </c>
      <c r="C1900" t="s">
        <v>209</v>
      </c>
      <c r="D1900" t="s">
        <v>1959</v>
      </c>
      <c r="E1900" s="2"/>
      <c r="F1900" t="s">
        <v>428</v>
      </c>
      <c r="G1900" t="s">
        <v>122</v>
      </c>
      <c r="H1900" t="s">
        <v>122</v>
      </c>
      <c r="I1900"/>
    </row>
    <row r="1901" spans="1:9">
      <c r="A1901" t="s">
        <v>1898</v>
      </c>
      <c r="B1901" s="1" t="str">
        <f>"20507398"</f>
        <v>20507398</v>
      </c>
      <c r="C1901" t="s">
        <v>209</v>
      </c>
      <c r="D1901" t="s">
        <v>1960</v>
      </c>
      <c r="E1901" s="2"/>
      <c r="F1901" t="s">
        <v>124</v>
      </c>
      <c r="G1901" t="s">
        <v>37</v>
      </c>
      <c r="H1901" t="s">
        <v>37</v>
      </c>
      <c r="I1901"/>
    </row>
    <row r="1902" spans="1:9">
      <c r="A1902" t="s">
        <v>1898</v>
      </c>
      <c r="B1902" s="1" t="str">
        <f>"20107833"</f>
        <v>20107833</v>
      </c>
      <c r="C1902" t="s">
        <v>209</v>
      </c>
      <c r="D1902" t="s">
        <v>1961</v>
      </c>
      <c r="E1902" s="2"/>
      <c r="F1902" t="s">
        <v>124</v>
      </c>
      <c r="G1902" t="s">
        <v>37</v>
      </c>
      <c r="H1902" t="s">
        <v>37</v>
      </c>
      <c r="I1902"/>
    </row>
    <row r="1903" spans="1:9">
      <c r="A1903" t="s">
        <v>1898</v>
      </c>
      <c r="B1903" s="1" t="str">
        <f>"20538446"</f>
        <v>20538446</v>
      </c>
      <c r="C1903" t="s">
        <v>209</v>
      </c>
      <c r="D1903" t="s">
        <v>1926</v>
      </c>
      <c r="E1903" s="2"/>
      <c r="F1903" t="s">
        <v>1461</v>
      </c>
      <c r="G1903" t="s">
        <v>37</v>
      </c>
      <c r="H1903" t="s">
        <v>120</v>
      </c>
      <c r="I1903"/>
    </row>
    <row r="1904" spans="1:9">
      <c r="A1904" t="s">
        <v>1898</v>
      </c>
      <c r="B1904" s="1" t="str">
        <f>"20079710"</f>
        <v>20079710</v>
      </c>
      <c r="C1904" t="s">
        <v>209</v>
      </c>
      <c r="D1904" t="s">
        <v>1962</v>
      </c>
      <c r="E1904" s="2"/>
      <c r="F1904" t="s">
        <v>1963</v>
      </c>
      <c r="G1904" t="s">
        <v>122</v>
      </c>
      <c r="H1904" t="s">
        <v>122</v>
      </c>
      <c r="I1904"/>
    </row>
    <row r="1905" spans="1:9">
      <c r="A1905" t="s">
        <v>1898</v>
      </c>
      <c r="B1905" s="1" t="str">
        <f>"20507305"</f>
        <v>20507305</v>
      </c>
      <c r="C1905" t="s">
        <v>209</v>
      </c>
      <c r="D1905" t="s">
        <v>1964</v>
      </c>
      <c r="E1905" s="2"/>
      <c r="F1905" t="s">
        <v>103</v>
      </c>
      <c r="G1905" t="s">
        <v>37</v>
      </c>
      <c r="H1905" t="s">
        <v>37</v>
      </c>
      <c r="I1905"/>
    </row>
    <row r="1906" spans="1:9">
      <c r="A1906" t="s">
        <v>1898</v>
      </c>
      <c r="B1906" s="1" t="str">
        <f>"20035433"</f>
        <v>20035433</v>
      </c>
      <c r="C1906" t="s">
        <v>209</v>
      </c>
      <c r="D1906" t="s">
        <v>1965</v>
      </c>
      <c r="E1906" s="2"/>
      <c r="F1906" t="s">
        <v>425</v>
      </c>
      <c r="G1906" t="s">
        <v>37</v>
      </c>
      <c r="H1906" t="s">
        <v>37</v>
      </c>
      <c r="I1906"/>
    </row>
    <row r="1907" spans="1:9">
      <c r="A1907" t="s">
        <v>1898</v>
      </c>
      <c r="B1907" s="1" t="str">
        <f>"20836306"</f>
        <v>20836306</v>
      </c>
      <c r="C1907" t="s">
        <v>209</v>
      </c>
      <c r="D1907" t="s">
        <v>1966</v>
      </c>
      <c r="E1907" s="2"/>
      <c r="F1907" t="s">
        <v>22</v>
      </c>
      <c r="G1907" t="s">
        <v>1551</v>
      </c>
      <c r="H1907" t="s">
        <v>1551</v>
      </c>
      <c r="I1907"/>
    </row>
    <row r="1908" spans="1:9">
      <c r="A1908" t="s">
        <v>1898</v>
      </c>
      <c r="B1908" s="1" t="str">
        <f>"20159238"</f>
        <v>20159238</v>
      </c>
      <c r="C1908" t="s">
        <v>209</v>
      </c>
      <c r="D1908" t="s">
        <v>1967</v>
      </c>
      <c r="E1908" s="2"/>
      <c r="F1908" t="s">
        <v>1831</v>
      </c>
      <c r="G1908" t="s">
        <v>37</v>
      </c>
      <c r="H1908" t="s">
        <v>37</v>
      </c>
      <c r="I1908"/>
    </row>
    <row r="1909" spans="1:9">
      <c r="A1909" t="s">
        <v>1898</v>
      </c>
      <c r="B1909" s="1" t="str">
        <f>"20159214"</f>
        <v>20159214</v>
      </c>
      <c r="C1909" t="s">
        <v>209</v>
      </c>
      <c r="D1909" t="s">
        <v>1968</v>
      </c>
      <c r="E1909" s="2"/>
      <c r="F1909" t="s">
        <v>1969</v>
      </c>
      <c r="G1909" t="s">
        <v>120</v>
      </c>
      <c r="H1909" t="s">
        <v>120</v>
      </c>
      <c r="I1909"/>
    </row>
    <row r="1910" spans="1:9">
      <c r="A1910" t="s">
        <v>1898</v>
      </c>
      <c r="B1910" s="1" t="str">
        <f>"20030100"</f>
        <v>20030100</v>
      </c>
      <c r="C1910" t="s">
        <v>209</v>
      </c>
      <c r="D1910" t="s">
        <v>1970</v>
      </c>
      <c r="E1910" s="2"/>
      <c r="F1910" t="s">
        <v>124</v>
      </c>
      <c r="G1910" t="s">
        <v>37</v>
      </c>
      <c r="H1910" t="s">
        <v>37</v>
      </c>
      <c r="I1910"/>
    </row>
    <row r="1911" spans="1:9">
      <c r="A1911" t="s">
        <v>1898</v>
      </c>
      <c r="B1911" s="1" t="str">
        <f>"20696351"</f>
        <v>20696351</v>
      </c>
      <c r="C1911" t="s">
        <v>209</v>
      </c>
      <c r="D1911" t="s">
        <v>1970</v>
      </c>
      <c r="E1911" s="2"/>
      <c r="F1911" t="s">
        <v>1831</v>
      </c>
      <c r="G1911" t="s">
        <v>37</v>
      </c>
      <c r="H1911" t="s">
        <v>37</v>
      </c>
      <c r="I1911"/>
    </row>
    <row r="1912" spans="1:9">
      <c r="A1912" t="s">
        <v>1898</v>
      </c>
      <c r="B1912" s="1" t="str">
        <f>"12057771"</f>
        <v>12057771</v>
      </c>
      <c r="C1912" t="s">
        <v>209</v>
      </c>
      <c r="D1912" t="s">
        <v>1971</v>
      </c>
      <c r="E1912" s="2"/>
      <c r="F1912" t="s">
        <v>1831</v>
      </c>
      <c r="G1912" t="s">
        <v>37</v>
      </c>
      <c r="H1912" t="s">
        <v>37</v>
      </c>
      <c r="I1912"/>
    </row>
    <row r="1913" spans="1:9">
      <c r="A1913" t="s">
        <v>1898</v>
      </c>
      <c r="B1913" s="1" t="str">
        <f>"20510572"</f>
        <v>20510572</v>
      </c>
      <c r="C1913" t="s">
        <v>209</v>
      </c>
      <c r="D1913" t="s">
        <v>1972</v>
      </c>
      <c r="E1913" s="2"/>
      <c r="F1913" t="s">
        <v>103</v>
      </c>
      <c r="G1913" t="s">
        <v>37</v>
      </c>
      <c r="H1913" t="s">
        <v>37</v>
      </c>
      <c r="I1913"/>
    </row>
    <row r="1914" spans="1:9">
      <c r="A1914" t="s">
        <v>1898</v>
      </c>
      <c r="B1914" s="1" t="str">
        <f>"20836290"</f>
        <v>20836290</v>
      </c>
      <c r="C1914" t="s">
        <v>209</v>
      </c>
      <c r="D1914" t="s">
        <v>188</v>
      </c>
      <c r="E1914" s="2"/>
      <c r="F1914" t="s">
        <v>68</v>
      </c>
      <c r="G1914" t="s">
        <v>1973</v>
      </c>
      <c r="H1914" t="s">
        <v>1973</v>
      </c>
      <c r="I1914"/>
    </row>
    <row r="1915" spans="1:9">
      <c r="A1915" t="s">
        <v>1898</v>
      </c>
      <c r="B1915" s="1" t="str">
        <f>"20159245"</f>
        <v>20159245</v>
      </c>
      <c r="C1915" t="s">
        <v>209</v>
      </c>
      <c r="D1915" t="s">
        <v>1938</v>
      </c>
      <c r="E1915" s="2"/>
      <c r="F1915" t="s">
        <v>1831</v>
      </c>
      <c r="G1915" t="s">
        <v>37</v>
      </c>
      <c r="H1915" t="s">
        <v>37</v>
      </c>
      <c r="I1915"/>
    </row>
    <row r="1916" spans="1:9">
      <c r="A1916" t="s">
        <v>1898</v>
      </c>
      <c r="B1916" s="1" t="str">
        <f>"20510497"</f>
        <v>20510497</v>
      </c>
      <c r="C1916" t="s">
        <v>1974</v>
      </c>
      <c r="D1916" t="s">
        <v>1975</v>
      </c>
      <c r="E1916" s="2"/>
      <c r="F1916" t="s">
        <v>959</v>
      </c>
      <c r="G1916" t="s">
        <v>1711</v>
      </c>
      <c r="H1916" t="s">
        <v>1711</v>
      </c>
      <c r="I1916"/>
    </row>
    <row r="1917" spans="1:9">
      <c r="A1917" t="s">
        <v>1898</v>
      </c>
      <c r="B1917" s="1" t="str">
        <f>"20510497.2"</f>
        <v>20510497.2</v>
      </c>
      <c r="C1917" t="s">
        <v>1974</v>
      </c>
      <c r="D1917" t="s">
        <v>1975</v>
      </c>
      <c r="E1917" s="2"/>
      <c r="F1917" t="s">
        <v>959</v>
      </c>
      <c r="G1917" t="s">
        <v>1711</v>
      </c>
      <c r="H1917" t="s">
        <v>383</v>
      </c>
      <c r="I1917"/>
    </row>
    <row r="1918" spans="1:9">
      <c r="A1918" t="s">
        <v>1898</v>
      </c>
      <c r="B1918" s="1" t="str">
        <f>"20057343"</f>
        <v>20057343</v>
      </c>
      <c r="C1918" t="s">
        <v>225</v>
      </c>
      <c r="D1918" t="s">
        <v>1976</v>
      </c>
      <c r="E1918" s="2"/>
      <c r="F1918" t="s">
        <v>105</v>
      </c>
      <c r="G1918" t="s">
        <v>156</v>
      </c>
      <c r="H1918" t="s">
        <v>156</v>
      </c>
      <c r="I1918"/>
    </row>
    <row r="1919" spans="1:9">
      <c r="A1919" t="s">
        <v>1898</v>
      </c>
      <c r="B1919" s="1" t="str">
        <f>"22553113"</f>
        <v>22553113</v>
      </c>
      <c r="C1919" t="s">
        <v>225</v>
      </c>
      <c r="D1919" t="s">
        <v>1977</v>
      </c>
      <c r="E1919" s="2"/>
      <c r="F1919" t="s">
        <v>1944</v>
      </c>
      <c r="G1919" t="s">
        <v>37</v>
      </c>
      <c r="H1919" t="s">
        <v>37</v>
      </c>
      <c r="I1919"/>
    </row>
    <row r="1920" spans="1:9">
      <c r="A1920" t="s">
        <v>1898</v>
      </c>
      <c r="B1920" s="1" t="str">
        <f>"20057268"</f>
        <v>20057268</v>
      </c>
      <c r="C1920" t="s">
        <v>225</v>
      </c>
      <c r="D1920" t="s">
        <v>1958</v>
      </c>
      <c r="E1920" s="2"/>
      <c r="F1920" t="s">
        <v>492</v>
      </c>
      <c r="G1920" t="s">
        <v>156</v>
      </c>
      <c r="H1920" t="s">
        <v>156</v>
      </c>
      <c r="I1920"/>
    </row>
    <row r="1921" spans="1:9">
      <c r="A1921" t="s">
        <v>1898</v>
      </c>
      <c r="B1921" s="1" t="str">
        <f>"20058357"</f>
        <v>20058357</v>
      </c>
      <c r="C1921" t="s">
        <v>225</v>
      </c>
      <c r="D1921" t="s">
        <v>1978</v>
      </c>
      <c r="E1921" s="2"/>
      <c r="F1921" t="s">
        <v>1979</v>
      </c>
      <c r="G1921" t="s">
        <v>657</v>
      </c>
      <c r="H1921" t="s">
        <v>657</v>
      </c>
      <c r="I1921"/>
    </row>
    <row r="1922" spans="1:9">
      <c r="A1922" t="s">
        <v>1898</v>
      </c>
      <c r="B1922" s="1" t="str">
        <f>"20441274"</f>
        <v>20441274</v>
      </c>
      <c r="C1922" t="s">
        <v>225</v>
      </c>
      <c r="D1922" t="s">
        <v>1900</v>
      </c>
      <c r="E1922" s="2"/>
      <c r="F1922" t="s">
        <v>1980</v>
      </c>
      <c r="G1922" t="s">
        <v>120</v>
      </c>
      <c r="H1922" t="s">
        <v>120</v>
      </c>
      <c r="I1922"/>
    </row>
    <row r="1923" spans="1:9">
      <c r="A1923" t="s">
        <v>1898</v>
      </c>
      <c r="B1923" s="1" t="str">
        <f>"20057435"</f>
        <v>20057435</v>
      </c>
      <c r="C1923" t="s">
        <v>225</v>
      </c>
      <c r="D1923" t="s">
        <v>1981</v>
      </c>
      <c r="E1923" s="2"/>
      <c r="F1923" t="s">
        <v>1781</v>
      </c>
      <c r="G1923" t="s">
        <v>120</v>
      </c>
      <c r="H1923" t="s">
        <v>120</v>
      </c>
      <c r="I1923"/>
    </row>
    <row r="1924" spans="1:9">
      <c r="A1924" t="s">
        <v>1898</v>
      </c>
      <c r="B1924" s="1" t="str">
        <f>"20093402"</f>
        <v>20093402</v>
      </c>
      <c r="C1924" t="s">
        <v>225</v>
      </c>
      <c r="D1924" t="s">
        <v>1927</v>
      </c>
      <c r="E1924" s="2"/>
      <c r="F1924" t="s">
        <v>105</v>
      </c>
      <c r="G1924" t="s">
        <v>156</v>
      </c>
      <c r="H1924" t="s">
        <v>156</v>
      </c>
      <c r="I1924"/>
    </row>
    <row r="1925" spans="1:9">
      <c r="A1925" t="s">
        <v>1898</v>
      </c>
      <c r="B1925" s="1" t="str">
        <f>"20057473"</f>
        <v>20057473</v>
      </c>
      <c r="C1925" t="s">
        <v>225</v>
      </c>
      <c r="D1925" t="s">
        <v>1982</v>
      </c>
      <c r="E1925" s="2"/>
      <c r="F1925" t="s">
        <v>1980</v>
      </c>
      <c r="G1925" t="s">
        <v>120</v>
      </c>
      <c r="H1925" t="s">
        <v>120</v>
      </c>
      <c r="I1925"/>
    </row>
    <row r="1926" spans="1:9">
      <c r="A1926" t="s">
        <v>1898</v>
      </c>
      <c r="B1926" s="1" t="str">
        <f>"23121546"</f>
        <v>23121546</v>
      </c>
      <c r="C1926" t="s">
        <v>225</v>
      </c>
      <c r="D1926" t="s">
        <v>1983</v>
      </c>
      <c r="E1926" s="2"/>
      <c r="F1926" t="s">
        <v>1984</v>
      </c>
      <c r="G1926" t="s">
        <v>120</v>
      </c>
      <c r="H1926" t="s">
        <v>120</v>
      </c>
      <c r="I1926"/>
    </row>
    <row r="1927" spans="1:9">
      <c r="A1927" t="s">
        <v>1898</v>
      </c>
      <c r="B1927" s="1" t="str">
        <f>"20057718"</f>
        <v>20057718</v>
      </c>
      <c r="C1927" t="s">
        <v>225</v>
      </c>
      <c r="D1927" t="s">
        <v>1985</v>
      </c>
      <c r="E1927" s="2"/>
      <c r="F1927" t="s">
        <v>1986</v>
      </c>
      <c r="G1927" t="s">
        <v>37</v>
      </c>
      <c r="H1927" t="s">
        <v>37</v>
      </c>
      <c r="I1927"/>
    </row>
    <row r="1928" spans="1:9">
      <c r="A1928" t="s">
        <v>1898</v>
      </c>
      <c r="B1928" s="1" t="str">
        <f>"21301471"</f>
        <v>21301471</v>
      </c>
      <c r="C1928" t="s">
        <v>225</v>
      </c>
      <c r="D1928" t="s">
        <v>1987</v>
      </c>
      <c r="E1928" s="2"/>
      <c r="F1928" t="s">
        <v>1963</v>
      </c>
      <c r="G1928" t="s">
        <v>37</v>
      </c>
      <c r="H1928" t="s">
        <v>37</v>
      </c>
      <c r="I1928"/>
    </row>
    <row r="1929" spans="1:9">
      <c r="A1929" t="s">
        <v>1898</v>
      </c>
      <c r="B1929" s="1" t="str">
        <f>"20113940"</f>
        <v>20113940</v>
      </c>
      <c r="C1929" t="s">
        <v>225</v>
      </c>
      <c r="D1929" t="s">
        <v>123</v>
      </c>
      <c r="E1929" s="2"/>
      <c r="F1929" t="s">
        <v>105</v>
      </c>
      <c r="G1929" t="s">
        <v>156</v>
      </c>
      <c r="H1929" t="s">
        <v>156</v>
      </c>
      <c r="I1929"/>
    </row>
    <row r="1930" spans="1:9">
      <c r="A1930" t="s">
        <v>1898</v>
      </c>
      <c r="B1930" s="1" t="str">
        <f>"20071790"</f>
        <v>20071790</v>
      </c>
      <c r="C1930" t="s">
        <v>225</v>
      </c>
      <c r="D1930" t="s">
        <v>1988</v>
      </c>
      <c r="E1930" s="2"/>
      <c r="F1930" t="s">
        <v>124</v>
      </c>
      <c r="G1930" t="s">
        <v>156</v>
      </c>
      <c r="H1930" t="s">
        <v>156</v>
      </c>
      <c r="I1930"/>
    </row>
    <row r="1931" spans="1:9">
      <c r="A1931" t="s">
        <v>1898</v>
      </c>
      <c r="B1931" s="1" t="str">
        <f>"20049706"</f>
        <v>20049706</v>
      </c>
      <c r="C1931" t="s">
        <v>225</v>
      </c>
      <c r="D1931" t="s">
        <v>1989</v>
      </c>
      <c r="E1931" s="2"/>
      <c r="F1931" t="s">
        <v>124</v>
      </c>
      <c r="G1931" t="s">
        <v>37</v>
      </c>
      <c r="H1931" t="s">
        <v>37</v>
      </c>
      <c r="I1931"/>
    </row>
    <row r="1932" spans="1:9">
      <c r="A1932" t="s">
        <v>1898</v>
      </c>
      <c r="B1932" s="1" t="str">
        <f>"20068469"</f>
        <v>20068469</v>
      </c>
      <c r="C1932" t="s">
        <v>225</v>
      </c>
      <c r="D1932" t="s">
        <v>1949</v>
      </c>
      <c r="E1932" s="2"/>
      <c r="F1932" t="s">
        <v>137</v>
      </c>
      <c r="G1932" t="s">
        <v>37</v>
      </c>
      <c r="H1932" t="s">
        <v>37</v>
      </c>
      <c r="I1932"/>
    </row>
    <row r="1933" spans="1:9">
      <c r="A1933" t="s">
        <v>1898</v>
      </c>
      <c r="B1933" s="1" t="str">
        <f>"20817343"</f>
        <v>20817343</v>
      </c>
      <c r="C1933" t="s">
        <v>225</v>
      </c>
      <c r="D1933" t="s">
        <v>1966</v>
      </c>
      <c r="E1933" s="2"/>
      <c r="F1933" t="s">
        <v>66</v>
      </c>
      <c r="G1933" t="s">
        <v>1551</v>
      </c>
      <c r="H1933" t="s">
        <v>1551</v>
      </c>
      <c r="I1933"/>
    </row>
    <row r="1934" spans="1:9">
      <c r="A1934" t="s">
        <v>1898</v>
      </c>
      <c r="B1934" s="1" t="str">
        <f>"20147020"</f>
        <v>20147020</v>
      </c>
      <c r="C1934" t="s">
        <v>225</v>
      </c>
      <c r="D1934" t="s">
        <v>1990</v>
      </c>
      <c r="E1934" s="2"/>
      <c r="F1934" t="s">
        <v>103</v>
      </c>
      <c r="G1934" t="s">
        <v>156</v>
      </c>
      <c r="H1934" t="s">
        <v>156</v>
      </c>
      <c r="I1934"/>
    </row>
    <row r="1935" spans="1:9">
      <c r="A1935" t="s">
        <v>1898</v>
      </c>
      <c r="B1935" s="1" t="str">
        <f>"20836313"</f>
        <v>20836313</v>
      </c>
      <c r="C1935" t="s">
        <v>225</v>
      </c>
      <c r="D1935" t="s">
        <v>1991</v>
      </c>
      <c r="E1935" s="2"/>
      <c r="F1935" t="s">
        <v>105</v>
      </c>
      <c r="G1935" t="s">
        <v>156</v>
      </c>
      <c r="H1935" t="s">
        <v>156</v>
      </c>
      <c r="I1935"/>
    </row>
    <row r="1936" spans="1:9">
      <c r="A1936" t="s">
        <v>1898</v>
      </c>
      <c r="B1936" s="1" t="str">
        <f>"26129503"</f>
        <v>26129503</v>
      </c>
      <c r="C1936" t="s">
        <v>225</v>
      </c>
      <c r="D1936" t="s">
        <v>1992</v>
      </c>
      <c r="E1936" s="2"/>
      <c r="F1936" t="s">
        <v>414</v>
      </c>
      <c r="G1936" t="s">
        <v>156</v>
      </c>
      <c r="H1936" t="s">
        <v>156</v>
      </c>
      <c r="I1936"/>
    </row>
    <row r="1937" spans="1:9">
      <c r="A1937" t="s">
        <v>1898</v>
      </c>
      <c r="B1937" s="1" t="str">
        <f>"20049744"</f>
        <v>20049744</v>
      </c>
      <c r="C1937" t="s">
        <v>225</v>
      </c>
      <c r="D1937" t="s">
        <v>1993</v>
      </c>
      <c r="E1937" s="2"/>
      <c r="F1937" t="s">
        <v>124</v>
      </c>
      <c r="G1937" t="s">
        <v>37</v>
      </c>
      <c r="H1937" t="s">
        <v>37</v>
      </c>
      <c r="I1937"/>
    </row>
    <row r="1938" spans="1:9">
      <c r="A1938" t="s">
        <v>1898</v>
      </c>
      <c r="B1938" s="1" t="str">
        <f>"20057411"</f>
        <v>20057411</v>
      </c>
      <c r="C1938" t="s">
        <v>225</v>
      </c>
      <c r="D1938" t="s">
        <v>1994</v>
      </c>
      <c r="E1938" s="2"/>
      <c r="F1938" t="s">
        <v>1980</v>
      </c>
      <c r="G1938" t="s">
        <v>120</v>
      </c>
      <c r="H1938" t="s">
        <v>120</v>
      </c>
      <c r="I1938"/>
    </row>
    <row r="1939" spans="1:9">
      <c r="A1939" t="s">
        <v>1898</v>
      </c>
      <c r="B1939" s="1" t="str">
        <f>"20061651"</f>
        <v>20061651</v>
      </c>
      <c r="C1939" t="s">
        <v>225</v>
      </c>
      <c r="D1939" t="s">
        <v>1995</v>
      </c>
      <c r="E1939" s="2"/>
      <c r="F1939" t="s">
        <v>36</v>
      </c>
      <c r="G1939" t="s">
        <v>120</v>
      </c>
      <c r="H1939" t="s">
        <v>120</v>
      </c>
      <c r="I1939"/>
    </row>
    <row r="1940" spans="1:9">
      <c r="A1940" t="s">
        <v>1898</v>
      </c>
      <c r="B1940" s="1" t="str">
        <f>"20049379"</f>
        <v>20049379</v>
      </c>
      <c r="C1940" t="s">
        <v>225</v>
      </c>
      <c r="D1940" t="s">
        <v>1996</v>
      </c>
      <c r="E1940" s="2"/>
      <c r="F1940" t="s">
        <v>124</v>
      </c>
      <c r="G1940" t="s">
        <v>37</v>
      </c>
      <c r="H1940" t="s">
        <v>37</v>
      </c>
      <c r="I1940"/>
    </row>
    <row r="1941" spans="1:9">
      <c r="A1941" t="s">
        <v>1898</v>
      </c>
      <c r="B1941" s="1" t="str">
        <f>"20048563"</f>
        <v>20048563</v>
      </c>
      <c r="C1941" t="s">
        <v>225</v>
      </c>
      <c r="D1941" t="s">
        <v>1997</v>
      </c>
      <c r="E1941" s="2"/>
      <c r="F1941" t="s">
        <v>643</v>
      </c>
      <c r="G1941" t="s">
        <v>37</v>
      </c>
      <c r="H1941" t="s">
        <v>37</v>
      </c>
      <c r="I1941"/>
    </row>
    <row r="1942" spans="1:9">
      <c r="A1942" t="s">
        <v>1898</v>
      </c>
      <c r="B1942" s="1" t="str">
        <f>"20507817"</f>
        <v>20507817</v>
      </c>
      <c r="C1942" t="s">
        <v>225</v>
      </c>
      <c r="D1942" t="s">
        <v>1998</v>
      </c>
      <c r="E1942" s="2"/>
      <c r="F1942" t="s">
        <v>124</v>
      </c>
      <c r="G1942" t="s">
        <v>120</v>
      </c>
      <c r="H1942" t="s">
        <v>120</v>
      </c>
      <c r="I1942"/>
    </row>
    <row r="1943" spans="1:9">
      <c r="A1943" t="s">
        <v>1898</v>
      </c>
      <c r="B1943" s="1" t="str">
        <f>"20507268"</f>
        <v>20507268</v>
      </c>
      <c r="C1943" t="s">
        <v>225</v>
      </c>
      <c r="D1943" t="s">
        <v>1912</v>
      </c>
      <c r="E1943" s="2"/>
      <c r="F1943" t="s">
        <v>428</v>
      </c>
      <c r="G1943" t="s">
        <v>156</v>
      </c>
      <c r="H1943" t="s">
        <v>156</v>
      </c>
      <c r="I1943"/>
    </row>
    <row r="1944" spans="1:9">
      <c r="A1944" t="s">
        <v>1898</v>
      </c>
      <c r="B1944" s="1" t="str">
        <f>"20507381"</f>
        <v>20507381</v>
      </c>
      <c r="C1944" t="s">
        <v>225</v>
      </c>
      <c r="D1944" t="s">
        <v>1912</v>
      </c>
      <c r="E1944" s="2"/>
      <c r="F1944" t="s">
        <v>129</v>
      </c>
      <c r="G1944" t="s">
        <v>156</v>
      </c>
      <c r="H1944" t="s">
        <v>156</v>
      </c>
      <c r="I1944"/>
    </row>
    <row r="1945" spans="1:9">
      <c r="A1945" t="s">
        <v>1898</v>
      </c>
      <c r="B1945" s="1" t="str">
        <f>"22553111"</f>
        <v>22553111</v>
      </c>
      <c r="C1945" t="s">
        <v>225</v>
      </c>
      <c r="D1945" t="s">
        <v>1914</v>
      </c>
      <c r="E1945" s="2"/>
      <c r="F1945" t="s">
        <v>1944</v>
      </c>
      <c r="G1945" t="s">
        <v>37</v>
      </c>
      <c r="H1945" t="s">
        <v>37</v>
      </c>
      <c r="I1945"/>
    </row>
    <row r="1946" spans="1:9">
      <c r="A1946" t="s">
        <v>1898</v>
      </c>
      <c r="B1946" s="1" t="str">
        <f>"20510220"</f>
        <v>20510220</v>
      </c>
      <c r="C1946" t="s">
        <v>225</v>
      </c>
      <c r="D1946" t="s">
        <v>188</v>
      </c>
      <c r="E1946" s="2"/>
      <c r="F1946" t="s">
        <v>206</v>
      </c>
      <c r="G1946" t="s">
        <v>1973</v>
      </c>
      <c r="H1946" t="s">
        <v>1973</v>
      </c>
      <c r="I1946"/>
    </row>
    <row r="1947" spans="1:9">
      <c r="A1947" t="s">
        <v>1898</v>
      </c>
      <c r="B1947" s="1" t="str">
        <f>"20803483"</f>
        <v>20803483</v>
      </c>
      <c r="C1947" t="s">
        <v>1999</v>
      </c>
      <c r="D1947" t="s">
        <v>2000</v>
      </c>
      <c r="E1947" s="2"/>
      <c r="F1947" t="s">
        <v>36</v>
      </c>
      <c r="G1947" t="s">
        <v>37</v>
      </c>
      <c r="H1947" t="s">
        <v>37</v>
      </c>
      <c r="I1947"/>
    </row>
    <row r="1948" spans="1:9">
      <c r="A1948" t="s">
        <v>1898</v>
      </c>
      <c r="B1948" s="1" t="str">
        <f>"23216897"</f>
        <v>23216897</v>
      </c>
      <c r="C1948" t="s">
        <v>1999</v>
      </c>
      <c r="D1948" t="s">
        <v>2000</v>
      </c>
      <c r="E1948" s="2"/>
      <c r="F1948" t="s">
        <v>1856</v>
      </c>
      <c r="G1948" t="s">
        <v>37</v>
      </c>
      <c r="H1948" t="s">
        <v>37</v>
      </c>
      <c r="I1948"/>
    </row>
    <row r="1949" spans="1:9">
      <c r="A1949" t="s">
        <v>1898</v>
      </c>
      <c r="B1949" s="1" t="str">
        <f>"23216897.2"</f>
        <v>23216897.2</v>
      </c>
      <c r="C1949" t="s">
        <v>1999</v>
      </c>
      <c r="D1949" t="s">
        <v>2000</v>
      </c>
      <c r="E1949" s="2"/>
      <c r="F1949" t="s">
        <v>1856</v>
      </c>
      <c r="G1949" t="s">
        <v>37</v>
      </c>
      <c r="H1949" t="s">
        <v>1088</v>
      </c>
      <c r="I1949"/>
    </row>
    <row r="1950" spans="1:9">
      <c r="A1950" t="s">
        <v>1898</v>
      </c>
      <c r="B1950" s="1" t="str">
        <f>"20200916"</f>
        <v>20200916</v>
      </c>
      <c r="C1950" t="s">
        <v>1495</v>
      </c>
      <c r="D1950" t="s">
        <v>1957</v>
      </c>
      <c r="E1950" s="2"/>
      <c r="F1950" t="s">
        <v>1862</v>
      </c>
      <c r="G1950" t="s">
        <v>122</v>
      </c>
      <c r="H1950" t="s">
        <v>156</v>
      </c>
      <c r="I1950"/>
    </row>
    <row r="1951" spans="1:9">
      <c r="A1951" t="s">
        <v>1898</v>
      </c>
      <c r="B1951" s="1" t="str">
        <f>"20084448"</f>
        <v>20084448</v>
      </c>
      <c r="C1951" t="s">
        <v>341</v>
      </c>
      <c r="D1951" t="s">
        <v>1900</v>
      </c>
      <c r="E1951" s="2"/>
      <c r="F1951" t="s">
        <v>425</v>
      </c>
      <c r="G1951" t="s">
        <v>120</v>
      </c>
      <c r="H1951" t="s">
        <v>120</v>
      </c>
      <c r="I1951"/>
    </row>
    <row r="1952" spans="1:9">
      <c r="A1952" t="s">
        <v>1898</v>
      </c>
      <c r="B1952" s="1" t="str">
        <f>"20099954"</f>
        <v>20099954</v>
      </c>
      <c r="C1952" t="s">
        <v>341</v>
      </c>
      <c r="D1952" t="s">
        <v>2001</v>
      </c>
      <c r="E1952" s="2"/>
      <c r="F1952" t="s">
        <v>2002</v>
      </c>
      <c r="G1952" t="s">
        <v>120</v>
      </c>
      <c r="H1952" t="s">
        <v>120</v>
      </c>
      <c r="I1952"/>
    </row>
    <row r="1953" spans="1:9">
      <c r="A1953" t="s">
        <v>1898</v>
      </c>
      <c r="B1953" s="1" t="str">
        <f>"20099954.2"</f>
        <v>20099954.2</v>
      </c>
      <c r="C1953" t="s">
        <v>341</v>
      </c>
      <c r="D1953" t="s">
        <v>2001</v>
      </c>
      <c r="E1953" s="2"/>
      <c r="F1953" t="s">
        <v>2002</v>
      </c>
      <c r="G1953" t="s">
        <v>120</v>
      </c>
      <c r="H1953" t="s">
        <v>1088</v>
      </c>
      <c r="I1953"/>
    </row>
    <row r="1954" spans="1:9">
      <c r="A1954" t="s">
        <v>1898</v>
      </c>
      <c r="B1954" s="1" t="str">
        <f>"20043414"</f>
        <v>20043414</v>
      </c>
      <c r="C1954" t="s">
        <v>341</v>
      </c>
      <c r="D1954" t="s">
        <v>1983</v>
      </c>
      <c r="E1954" s="2"/>
      <c r="F1954" t="s">
        <v>2002</v>
      </c>
      <c r="G1954" t="s">
        <v>120</v>
      </c>
      <c r="H1954" t="s">
        <v>120</v>
      </c>
      <c r="I1954"/>
    </row>
    <row r="1955" spans="1:9">
      <c r="A1955" t="s">
        <v>1898</v>
      </c>
      <c r="B1955" s="1" t="str">
        <f>"20043414.2"</f>
        <v>20043414.2</v>
      </c>
      <c r="C1955" t="s">
        <v>341</v>
      </c>
      <c r="D1955" t="s">
        <v>1983</v>
      </c>
      <c r="E1955" s="2"/>
      <c r="F1955" t="s">
        <v>2002</v>
      </c>
      <c r="G1955" t="s">
        <v>120</v>
      </c>
      <c r="H1955" t="s">
        <v>1088</v>
      </c>
      <c r="I1955"/>
    </row>
    <row r="1956" spans="1:9">
      <c r="A1956" t="s">
        <v>1898</v>
      </c>
      <c r="B1956" s="1" t="str">
        <f>"20081980"</f>
        <v>20081980</v>
      </c>
      <c r="C1956" t="s">
        <v>341</v>
      </c>
      <c r="D1956" t="s">
        <v>2003</v>
      </c>
      <c r="E1956" s="2"/>
      <c r="F1956" t="s">
        <v>425</v>
      </c>
      <c r="G1956" t="s">
        <v>120</v>
      </c>
      <c r="H1956" t="s">
        <v>120</v>
      </c>
      <c r="I1956"/>
    </row>
    <row r="1957" spans="1:9">
      <c r="A1957" t="s">
        <v>1898</v>
      </c>
      <c r="B1957" s="1" t="str">
        <f>"20081980.2"</f>
        <v>20081980.2</v>
      </c>
      <c r="C1957" t="s">
        <v>341</v>
      </c>
      <c r="D1957" t="s">
        <v>2003</v>
      </c>
      <c r="E1957" s="2"/>
      <c r="F1957" t="s">
        <v>425</v>
      </c>
      <c r="G1957" t="s">
        <v>120</v>
      </c>
      <c r="H1957" t="s">
        <v>1088</v>
      </c>
      <c r="I1957"/>
    </row>
    <row r="1958" spans="1:9">
      <c r="A1958" t="s">
        <v>1898</v>
      </c>
      <c r="B1958" s="1" t="str">
        <f>"12522650"</f>
        <v>12522650</v>
      </c>
      <c r="C1958" t="s">
        <v>341</v>
      </c>
      <c r="D1958" t="s">
        <v>2004</v>
      </c>
      <c r="E1958" s="2"/>
      <c r="F1958" t="s">
        <v>1913</v>
      </c>
      <c r="G1958" t="s">
        <v>1368</v>
      </c>
      <c r="H1958" t="s">
        <v>383</v>
      </c>
      <c r="I1958"/>
    </row>
    <row r="1959" spans="1:9">
      <c r="A1959" t="s">
        <v>1898</v>
      </c>
      <c r="B1959" s="1" t="str">
        <f>"20062217"</f>
        <v>20062217</v>
      </c>
      <c r="C1959" t="s">
        <v>341</v>
      </c>
      <c r="D1959" t="s">
        <v>2005</v>
      </c>
      <c r="E1959" s="2"/>
      <c r="F1959" t="s">
        <v>63</v>
      </c>
      <c r="G1959" t="s">
        <v>2006</v>
      </c>
      <c r="H1959" t="s">
        <v>2006</v>
      </c>
      <c r="I1959"/>
    </row>
    <row r="1960" spans="1:9">
      <c r="A1960" t="s">
        <v>1898</v>
      </c>
      <c r="B1960" s="1" t="str">
        <f>"20062217.2"</f>
        <v>20062217.2</v>
      </c>
      <c r="C1960" t="s">
        <v>341</v>
      </c>
      <c r="D1960" t="s">
        <v>2005</v>
      </c>
      <c r="E1960" s="2"/>
      <c r="F1960" t="s">
        <v>63</v>
      </c>
      <c r="G1960" t="s">
        <v>2006</v>
      </c>
      <c r="H1960" t="s">
        <v>383</v>
      </c>
      <c r="I1960"/>
    </row>
    <row r="1961" spans="1:9">
      <c r="A1961" t="s">
        <v>1898</v>
      </c>
      <c r="B1961" s="1" t="str">
        <f>"20062392"</f>
        <v>20062392</v>
      </c>
      <c r="C1961" t="s">
        <v>341</v>
      </c>
      <c r="D1961" t="s">
        <v>2007</v>
      </c>
      <c r="E1961" s="2"/>
      <c r="F1961" t="s">
        <v>2008</v>
      </c>
      <c r="G1961" t="s">
        <v>156</v>
      </c>
      <c r="H1961" t="s">
        <v>156</v>
      </c>
      <c r="I1961"/>
    </row>
    <row r="1962" spans="1:9">
      <c r="A1962" t="s">
        <v>1898</v>
      </c>
      <c r="B1962" s="1" t="str">
        <f>"20062392.2"</f>
        <v>20062392.2</v>
      </c>
      <c r="C1962" t="s">
        <v>341</v>
      </c>
      <c r="D1962" t="s">
        <v>2007</v>
      </c>
      <c r="E1962" s="2"/>
      <c r="F1962" t="s">
        <v>2008</v>
      </c>
      <c r="G1962" t="s">
        <v>156</v>
      </c>
      <c r="H1962" t="s">
        <v>383</v>
      </c>
      <c r="I1962"/>
    </row>
    <row r="1963" spans="1:9">
      <c r="A1963" t="s">
        <v>1898</v>
      </c>
      <c r="B1963" s="1" t="str">
        <f>"20062545"</f>
        <v>20062545</v>
      </c>
      <c r="C1963" t="s">
        <v>341</v>
      </c>
      <c r="D1963" t="s">
        <v>2009</v>
      </c>
      <c r="E1963" s="2"/>
      <c r="F1963" t="s">
        <v>492</v>
      </c>
      <c r="G1963" t="s">
        <v>156</v>
      </c>
      <c r="H1963" t="s">
        <v>156</v>
      </c>
      <c r="I1963"/>
    </row>
    <row r="1964" spans="1:9">
      <c r="A1964" t="s">
        <v>1898</v>
      </c>
      <c r="B1964" s="1" t="str">
        <f>"20062545.2"</f>
        <v>20062545.2</v>
      </c>
      <c r="C1964" t="s">
        <v>341</v>
      </c>
      <c r="D1964" t="s">
        <v>2009</v>
      </c>
      <c r="E1964" s="2"/>
      <c r="F1964" t="s">
        <v>492</v>
      </c>
      <c r="G1964" t="s">
        <v>156</v>
      </c>
      <c r="H1964" t="s">
        <v>383</v>
      </c>
      <c r="I1964"/>
    </row>
    <row r="1965" spans="1:9">
      <c r="A1965" t="s">
        <v>1898</v>
      </c>
      <c r="B1965" s="1" t="str">
        <f>"20163921"</f>
        <v>20163921</v>
      </c>
      <c r="C1965" t="s">
        <v>341</v>
      </c>
      <c r="D1965" t="s">
        <v>2010</v>
      </c>
      <c r="E1965" s="2"/>
      <c r="F1965" t="s">
        <v>105</v>
      </c>
      <c r="G1965" t="s">
        <v>122</v>
      </c>
      <c r="H1965" t="s">
        <v>122</v>
      </c>
      <c r="I1965"/>
    </row>
    <row r="1966" spans="1:9">
      <c r="A1966" t="s">
        <v>1898</v>
      </c>
      <c r="B1966" s="1" t="str">
        <f>"20033569"</f>
        <v>20033569</v>
      </c>
      <c r="C1966" t="s">
        <v>341</v>
      </c>
      <c r="D1966" t="s">
        <v>2011</v>
      </c>
      <c r="E1966" s="2"/>
      <c r="F1966" t="s">
        <v>105</v>
      </c>
      <c r="G1966" t="s">
        <v>122</v>
      </c>
      <c r="H1966" t="s">
        <v>122</v>
      </c>
      <c r="I1966"/>
    </row>
    <row r="1967" spans="1:9">
      <c r="A1967" t="s">
        <v>1898</v>
      </c>
      <c r="B1967" s="1" t="str">
        <f>"20256278"</f>
        <v>20256278</v>
      </c>
      <c r="C1967" t="s">
        <v>341</v>
      </c>
      <c r="D1967" t="s">
        <v>2012</v>
      </c>
      <c r="E1967" s="2"/>
      <c r="F1967" t="s">
        <v>68</v>
      </c>
      <c r="G1967" t="s">
        <v>1456</v>
      </c>
      <c r="H1967" t="s">
        <v>1456</v>
      </c>
      <c r="I1967"/>
    </row>
    <row r="1968" spans="1:9">
      <c r="A1968" t="s">
        <v>1898</v>
      </c>
      <c r="B1968" s="1" t="str">
        <f>"20256278.2"</f>
        <v>20256278.2</v>
      </c>
      <c r="C1968" t="s">
        <v>341</v>
      </c>
      <c r="D1968" t="s">
        <v>2012</v>
      </c>
      <c r="E1968" s="2"/>
      <c r="F1968" t="s">
        <v>68</v>
      </c>
      <c r="G1968" t="s">
        <v>1456</v>
      </c>
      <c r="H1968" t="s">
        <v>1453</v>
      </c>
      <c r="I1968"/>
    </row>
    <row r="1969" spans="1:9">
      <c r="A1969" t="s">
        <v>1898</v>
      </c>
      <c r="B1969" s="1" t="str">
        <f>"20518820"</f>
        <v>20518820</v>
      </c>
      <c r="C1969" t="s">
        <v>341</v>
      </c>
      <c r="D1969" t="s">
        <v>2013</v>
      </c>
      <c r="E1969" s="2"/>
      <c r="F1969" t="s">
        <v>68</v>
      </c>
      <c r="G1969" t="s">
        <v>1456</v>
      </c>
      <c r="H1969" t="s">
        <v>1456</v>
      </c>
      <c r="I1969"/>
    </row>
    <row r="1970" spans="1:9">
      <c r="A1970" t="s">
        <v>1898</v>
      </c>
      <c r="B1970" s="1" t="str">
        <f>"20518820.2"</f>
        <v>20518820.2</v>
      </c>
      <c r="C1970" t="s">
        <v>341</v>
      </c>
      <c r="D1970" t="s">
        <v>2013</v>
      </c>
      <c r="E1970" s="2"/>
      <c r="F1970" t="s">
        <v>68</v>
      </c>
      <c r="G1970" t="s">
        <v>1456</v>
      </c>
      <c r="H1970" t="s">
        <v>1453</v>
      </c>
      <c r="I1970"/>
    </row>
    <row r="1971" spans="1:9">
      <c r="A1971" t="s">
        <v>1898</v>
      </c>
      <c r="B1971" s="1" t="str">
        <f>"24044101"</f>
        <v>24044101</v>
      </c>
      <c r="C1971" t="s">
        <v>341</v>
      </c>
      <c r="D1971" t="s">
        <v>2014</v>
      </c>
      <c r="E1971" s="2"/>
      <c r="F1971" t="s">
        <v>79</v>
      </c>
      <c r="G1971" t="s">
        <v>1456</v>
      </c>
      <c r="H1971" t="s">
        <v>1456</v>
      </c>
      <c r="I1971"/>
    </row>
    <row r="1972" spans="1:9">
      <c r="A1972" t="s">
        <v>1898</v>
      </c>
      <c r="B1972" s="1" t="str">
        <f>"20062231"</f>
        <v>20062231</v>
      </c>
      <c r="C1972" t="s">
        <v>341</v>
      </c>
      <c r="D1972" t="s">
        <v>2015</v>
      </c>
      <c r="E1972" s="2"/>
      <c r="F1972" t="s">
        <v>63</v>
      </c>
      <c r="G1972" t="s">
        <v>2006</v>
      </c>
      <c r="H1972" t="s">
        <v>2006</v>
      </c>
      <c r="I1972"/>
    </row>
    <row r="1973" spans="1:9">
      <c r="A1973" t="s">
        <v>1898</v>
      </c>
      <c r="B1973" s="1" t="str">
        <f>"20062231.2"</f>
        <v>20062231.2</v>
      </c>
      <c r="C1973" t="s">
        <v>341</v>
      </c>
      <c r="D1973" t="s">
        <v>2015</v>
      </c>
      <c r="E1973" s="2"/>
      <c r="F1973" t="s">
        <v>63</v>
      </c>
      <c r="G1973" t="s">
        <v>2006</v>
      </c>
      <c r="H1973" t="s">
        <v>383</v>
      </c>
      <c r="I1973"/>
    </row>
    <row r="1974" spans="1:9">
      <c r="A1974" t="s">
        <v>1898</v>
      </c>
      <c r="B1974" s="1" t="str">
        <f>"20518776"</f>
        <v>20518776</v>
      </c>
      <c r="C1974" t="s">
        <v>341</v>
      </c>
      <c r="D1974" t="s">
        <v>2016</v>
      </c>
      <c r="E1974" s="2"/>
      <c r="F1974" t="s">
        <v>2017</v>
      </c>
      <c r="G1974" t="s">
        <v>122</v>
      </c>
      <c r="H1974" t="s">
        <v>122</v>
      </c>
      <c r="I1974"/>
    </row>
    <row r="1975" spans="1:9">
      <c r="A1975" t="s">
        <v>1898</v>
      </c>
      <c r="B1975" s="1" t="str">
        <f>"12057770"</f>
        <v>12057770</v>
      </c>
      <c r="C1975" t="s">
        <v>2018</v>
      </c>
      <c r="D1975" t="s">
        <v>1970</v>
      </c>
      <c r="E1975" s="2"/>
      <c r="F1975" t="s">
        <v>2019</v>
      </c>
      <c r="G1975" t="s">
        <v>156</v>
      </c>
      <c r="H1975" t="s">
        <v>383</v>
      </c>
      <c r="I1975"/>
    </row>
    <row r="1976" spans="1:9">
      <c r="A1976" t="s">
        <v>1898</v>
      </c>
      <c r="B1976" s="1" t="str">
        <f>"20119805"</f>
        <v>20119805</v>
      </c>
      <c r="C1976" t="s">
        <v>343</v>
      </c>
      <c r="D1976" t="s">
        <v>2020</v>
      </c>
      <c r="E1976" s="2"/>
      <c r="F1976" t="s">
        <v>2021</v>
      </c>
      <c r="G1976" t="s">
        <v>120</v>
      </c>
      <c r="H1976" t="s">
        <v>120</v>
      </c>
      <c r="I1976"/>
    </row>
    <row r="1977" spans="1:9">
      <c r="A1977" t="s">
        <v>1898</v>
      </c>
      <c r="B1977" s="1" t="str">
        <f>"20119805.2"</f>
        <v>20119805.2</v>
      </c>
      <c r="C1977" t="s">
        <v>343</v>
      </c>
      <c r="D1977" t="s">
        <v>2020</v>
      </c>
      <c r="E1977" s="2"/>
      <c r="F1977" t="s">
        <v>2021</v>
      </c>
      <c r="G1977" t="s">
        <v>120</v>
      </c>
      <c r="H1977" t="s">
        <v>1088</v>
      </c>
      <c r="I1977"/>
    </row>
    <row r="1978" spans="1:9">
      <c r="A1978" t="s">
        <v>1898</v>
      </c>
      <c r="B1978" s="1" t="str">
        <f>"20236243"</f>
        <v>20236243</v>
      </c>
      <c r="C1978" t="s">
        <v>343</v>
      </c>
      <c r="D1978" t="s">
        <v>2020</v>
      </c>
      <c r="E1978" s="2"/>
      <c r="F1978" t="s">
        <v>191</v>
      </c>
      <c r="G1978" t="s">
        <v>1034</v>
      </c>
      <c r="H1978" t="s">
        <v>1034</v>
      </c>
      <c r="I1978"/>
    </row>
    <row r="1979" spans="1:9">
      <c r="A1979" t="s">
        <v>1898</v>
      </c>
      <c r="B1979" s="1" t="str">
        <f>"20104849"</f>
        <v>20104849</v>
      </c>
      <c r="C1979" t="s">
        <v>343</v>
      </c>
      <c r="D1979" t="s">
        <v>2022</v>
      </c>
      <c r="E1979" s="2"/>
      <c r="F1979" t="s">
        <v>1856</v>
      </c>
      <c r="G1979" t="s">
        <v>120</v>
      </c>
      <c r="H1979" t="s">
        <v>120</v>
      </c>
      <c r="I1979"/>
    </row>
    <row r="1980" spans="1:9">
      <c r="A1980" t="s">
        <v>1898</v>
      </c>
      <c r="B1980" s="1" t="str">
        <f>"20104849.2"</f>
        <v>20104849.2</v>
      </c>
      <c r="C1980" t="s">
        <v>343</v>
      </c>
      <c r="D1980" t="s">
        <v>2022</v>
      </c>
      <c r="E1980" s="2"/>
      <c r="F1980" t="s">
        <v>1856</v>
      </c>
      <c r="G1980" t="s">
        <v>120</v>
      </c>
      <c r="H1980" t="s">
        <v>1088</v>
      </c>
      <c r="I1980"/>
    </row>
    <row r="1981" spans="1:9">
      <c r="A1981" t="s">
        <v>1898</v>
      </c>
      <c r="B1981" s="1" t="str">
        <f>"25526712"</f>
        <v>25526712</v>
      </c>
      <c r="C1981" t="s">
        <v>343</v>
      </c>
      <c r="D1981" t="s">
        <v>2023</v>
      </c>
      <c r="E1981" s="2"/>
      <c r="F1981" t="s">
        <v>832</v>
      </c>
      <c r="G1981" t="s">
        <v>37</v>
      </c>
      <c r="H1981" t="s">
        <v>37</v>
      </c>
      <c r="I1981"/>
    </row>
    <row r="1982" spans="1:9">
      <c r="A1982" t="s">
        <v>1898</v>
      </c>
      <c r="B1982" s="1" t="str">
        <f>"25526156"</f>
        <v>25526156</v>
      </c>
      <c r="C1982" t="s">
        <v>343</v>
      </c>
      <c r="D1982" t="s">
        <v>2024</v>
      </c>
      <c r="E1982" s="2"/>
      <c r="F1982" t="s">
        <v>1781</v>
      </c>
      <c r="G1982" t="s">
        <v>37</v>
      </c>
      <c r="H1982" t="s">
        <v>37</v>
      </c>
      <c r="I1982"/>
    </row>
    <row r="1983" spans="1:9">
      <c r="A1983" t="s">
        <v>1898</v>
      </c>
      <c r="B1983" s="1" t="str">
        <f>"20065423"</f>
        <v>20065423</v>
      </c>
      <c r="C1983" t="s">
        <v>343</v>
      </c>
      <c r="D1983" t="s">
        <v>2025</v>
      </c>
      <c r="E1983" s="2"/>
      <c r="F1983" t="s">
        <v>832</v>
      </c>
      <c r="G1983" t="s">
        <v>37</v>
      </c>
      <c r="H1983" t="s">
        <v>37</v>
      </c>
      <c r="I1983"/>
    </row>
    <row r="1984" spans="1:9">
      <c r="A1984" t="s">
        <v>1898</v>
      </c>
      <c r="B1984" s="1" t="str">
        <f>"20065546"</f>
        <v>20065546</v>
      </c>
      <c r="C1984" t="s">
        <v>343</v>
      </c>
      <c r="D1984" t="s">
        <v>2026</v>
      </c>
      <c r="E1984" s="2"/>
      <c r="F1984" t="s">
        <v>425</v>
      </c>
      <c r="G1984" t="s">
        <v>1034</v>
      </c>
      <c r="H1984" t="s">
        <v>1034</v>
      </c>
      <c r="I1984"/>
    </row>
    <row r="1985" spans="1:9">
      <c r="A1985" t="s">
        <v>1898</v>
      </c>
      <c r="B1985" s="1" t="str">
        <f>"20065546.2"</f>
        <v>20065546.2</v>
      </c>
      <c r="C1985" t="s">
        <v>343</v>
      </c>
      <c r="D1985" t="s">
        <v>2026</v>
      </c>
      <c r="E1985" s="2"/>
      <c r="F1985" t="s">
        <v>425</v>
      </c>
      <c r="G1985" t="s">
        <v>1034</v>
      </c>
      <c r="H1985" t="s">
        <v>1088</v>
      </c>
      <c r="I1985"/>
    </row>
    <row r="1986" spans="1:9">
      <c r="A1986" t="s">
        <v>1898</v>
      </c>
      <c r="B1986" s="1" t="str">
        <f>"20065522"</f>
        <v>20065522</v>
      </c>
      <c r="C1986" t="s">
        <v>343</v>
      </c>
      <c r="D1986" t="s">
        <v>2027</v>
      </c>
      <c r="E1986" s="2"/>
      <c r="F1986" t="s">
        <v>2002</v>
      </c>
      <c r="G1986" t="s">
        <v>120</v>
      </c>
      <c r="H1986" t="s">
        <v>120</v>
      </c>
      <c r="I1986"/>
    </row>
    <row r="1987" spans="1:9">
      <c r="A1987" t="s">
        <v>1898</v>
      </c>
      <c r="B1987" s="1" t="str">
        <f>"20065522.2"</f>
        <v>20065522.2</v>
      </c>
      <c r="C1987" t="s">
        <v>343</v>
      </c>
      <c r="D1987" t="s">
        <v>2027</v>
      </c>
      <c r="E1987" s="2"/>
      <c r="F1987" t="s">
        <v>2002</v>
      </c>
      <c r="G1987" t="s">
        <v>120</v>
      </c>
      <c r="H1987" t="s">
        <v>1088</v>
      </c>
      <c r="I1987"/>
    </row>
    <row r="1988" spans="1:9">
      <c r="A1988" t="s">
        <v>1898</v>
      </c>
      <c r="B1988" s="1" t="str">
        <f>"20065539"</f>
        <v>20065539</v>
      </c>
      <c r="C1988" t="s">
        <v>343</v>
      </c>
      <c r="D1988" t="s">
        <v>2027</v>
      </c>
      <c r="E1988" s="2"/>
      <c r="F1988" t="s">
        <v>425</v>
      </c>
      <c r="G1988" t="s">
        <v>1034</v>
      </c>
      <c r="H1988" t="s">
        <v>1034</v>
      </c>
      <c r="I1988"/>
    </row>
    <row r="1989" spans="1:9">
      <c r="A1989" t="s">
        <v>1898</v>
      </c>
      <c r="B1989" s="1" t="str">
        <f>"20118969"</f>
        <v>20118969</v>
      </c>
      <c r="C1989" t="s">
        <v>343</v>
      </c>
      <c r="D1989" t="s">
        <v>2028</v>
      </c>
      <c r="E1989" s="2"/>
      <c r="F1989" t="s">
        <v>1781</v>
      </c>
      <c r="G1989" t="s">
        <v>120</v>
      </c>
      <c r="H1989" t="s">
        <v>120</v>
      </c>
      <c r="I1989"/>
    </row>
    <row r="1990" spans="1:9">
      <c r="A1990" t="s">
        <v>1898</v>
      </c>
      <c r="B1990" s="1" t="str">
        <f>"20236250"</f>
        <v>20236250</v>
      </c>
      <c r="C1990" t="s">
        <v>343</v>
      </c>
      <c r="D1990" t="s">
        <v>2029</v>
      </c>
      <c r="E1990" s="2"/>
      <c r="F1990" t="s">
        <v>124</v>
      </c>
      <c r="G1990" t="s">
        <v>1034</v>
      </c>
      <c r="H1990" t="s">
        <v>1034</v>
      </c>
      <c r="I1990"/>
    </row>
    <row r="1991" spans="1:9">
      <c r="A1991" t="s">
        <v>1898</v>
      </c>
      <c r="B1991" s="1" t="str">
        <f>"20236250.2"</f>
        <v>20236250.2</v>
      </c>
      <c r="C1991" t="s">
        <v>343</v>
      </c>
      <c r="D1991" t="s">
        <v>2029</v>
      </c>
      <c r="E1991" s="2"/>
      <c r="F1991" t="s">
        <v>124</v>
      </c>
      <c r="G1991" t="s">
        <v>1034</v>
      </c>
      <c r="H1991" t="s">
        <v>1088</v>
      </c>
      <c r="I1991"/>
    </row>
    <row r="1992" spans="1:9">
      <c r="A1992" t="s">
        <v>1898</v>
      </c>
      <c r="B1992" s="1" t="str">
        <f>"20065584"</f>
        <v>20065584</v>
      </c>
      <c r="C1992" t="s">
        <v>343</v>
      </c>
      <c r="D1992" t="s">
        <v>1989</v>
      </c>
      <c r="E1992" s="2"/>
      <c r="F1992" t="s">
        <v>425</v>
      </c>
      <c r="G1992" t="s">
        <v>1034</v>
      </c>
      <c r="H1992" t="s">
        <v>1034</v>
      </c>
      <c r="I1992"/>
    </row>
    <row r="1993" spans="1:9">
      <c r="A1993" t="s">
        <v>1898</v>
      </c>
      <c r="B1993" s="1" t="str">
        <f>"20065584.2"</f>
        <v>20065584.2</v>
      </c>
      <c r="C1993" t="s">
        <v>343</v>
      </c>
      <c r="D1993" t="s">
        <v>1989</v>
      </c>
      <c r="E1993" s="2"/>
      <c r="F1993" t="s">
        <v>425</v>
      </c>
      <c r="G1993" t="s">
        <v>1034</v>
      </c>
      <c r="H1993" t="s">
        <v>1088</v>
      </c>
      <c r="I1993"/>
    </row>
    <row r="1994" spans="1:9">
      <c r="A1994" t="s">
        <v>1898</v>
      </c>
      <c r="B1994" s="1" t="str">
        <f>"20064006"</f>
        <v>20064006</v>
      </c>
      <c r="C1994" t="s">
        <v>343</v>
      </c>
      <c r="D1994" t="s">
        <v>2030</v>
      </c>
      <c r="E1994" s="2"/>
      <c r="F1994" t="s">
        <v>63</v>
      </c>
      <c r="G1994" t="s">
        <v>1034</v>
      </c>
      <c r="H1994" t="s">
        <v>1034</v>
      </c>
      <c r="I1994"/>
    </row>
    <row r="1995" spans="1:9">
      <c r="A1995" t="s">
        <v>1898</v>
      </c>
      <c r="B1995" s="1" t="str">
        <f>"20064006.2"</f>
        <v>20064006.2</v>
      </c>
      <c r="C1995" t="s">
        <v>343</v>
      </c>
      <c r="D1995" t="s">
        <v>2030</v>
      </c>
      <c r="E1995" s="2"/>
      <c r="F1995" t="s">
        <v>63</v>
      </c>
      <c r="G1995" t="s">
        <v>1034</v>
      </c>
      <c r="H1995" t="s">
        <v>1088</v>
      </c>
      <c r="I1995"/>
    </row>
    <row r="1996" spans="1:9">
      <c r="A1996" t="s">
        <v>1898</v>
      </c>
      <c r="B1996" s="1" t="str">
        <f>"20130802"</f>
        <v>20130802</v>
      </c>
      <c r="C1996" t="s">
        <v>343</v>
      </c>
      <c r="D1996" t="s">
        <v>2031</v>
      </c>
      <c r="E1996" s="2"/>
      <c r="F1996" t="s">
        <v>2032</v>
      </c>
      <c r="G1996" t="s">
        <v>1034</v>
      </c>
      <c r="H1996" t="s">
        <v>1034</v>
      </c>
      <c r="I1996"/>
    </row>
    <row r="1997" spans="1:9">
      <c r="A1997" t="s">
        <v>1898</v>
      </c>
      <c r="B1997" s="1" t="str">
        <f>"20130802.2"</f>
        <v>20130802.2</v>
      </c>
      <c r="C1997" t="s">
        <v>343</v>
      </c>
      <c r="D1997" t="s">
        <v>2031</v>
      </c>
      <c r="E1997" s="2"/>
      <c r="F1997" t="s">
        <v>2032</v>
      </c>
      <c r="G1997" t="s">
        <v>1034</v>
      </c>
      <c r="H1997" t="s">
        <v>1088</v>
      </c>
      <c r="I1997"/>
    </row>
    <row r="1998" spans="1:9">
      <c r="A1998" t="s">
        <v>1898</v>
      </c>
      <c r="B1998" s="1" t="str">
        <f>"20518110"</f>
        <v>20518110</v>
      </c>
      <c r="C1998" t="s">
        <v>343</v>
      </c>
      <c r="D1998" t="s">
        <v>2033</v>
      </c>
      <c r="E1998" s="2"/>
      <c r="F1998" t="s">
        <v>124</v>
      </c>
      <c r="G1998" t="s">
        <v>1034</v>
      </c>
      <c r="H1998" t="s">
        <v>1034</v>
      </c>
      <c r="I1998"/>
    </row>
    <row r="1999" spans="1:9">
      <c r="A1999" t="s">
        <v>1898</v>
      </c>
      <c r="B1999" s="1" t="str">
        <f>"20518110.2"</f>
        <v>20518110.2</v>
      </c>
      <c r="C1999" t="s">
        <v>343</v>
      </c>
      <c r="D1999" t="s">
        <v>2033</v>
      </c>
      <c r="E1999" s="2"/>
      <c r="F1999" t="s">
        <v>124</v>
      </c>
      <c r="G1999" t="s">
        <v>1034</v>
      </c>
      <c r="H1999" t="s">
        <v>1088</v>
      </c>
      <c r="I1999"/>
    </row>
    <row r="2000" spans="1:9">
      <c r="A2000" t="s">
        <v>1898</v>
      </c>
      <c r="B2000" s="1" t="str">
        <f>"20065591"</f>
        <v>20065591</v>
      </c>
      <c r="C2000" t="s">
        <v>343</v>
      </c>
      <c r="D2000" t="s">
        <v>1994</v>
      </c>
      <c r="E2000" s="2"/>
      <c r="F2000" t="s">
        <v>1980</v>
      </c>
      <c r="G2000" t="s">
        <v>38</v>
      </c>
      <c r="H2000" t="s">
        <v>38</v>
      </c>
      <c r="I2000"/>
    </row>
    <row r="2001" spans="1:9">
      <c r="A2001" t="s">
        <v>1898</v>
      </c>
      <c r="B2001" s="1" t="str">
        <f>"20065591.2"</f>
        <v>20065591.2</v>
      </c>
      <c r="C2001" t="s">
        <v>343</v>
      </c>
      <c r="D2001" t="s">
        <v>1994</v>
      </c>
      <c r="E2001" s="2"/>
      <c r="F2001" t="s">
        <v>1980</v>
      </c>
      <c r="G2001" t="s">
        <v>38</v>
      </c>
      <c r="H2001" t="s">
        <v>1088</v>
      </c>
      <c r="I2001"/>
    </row>
    <row r="2002" spans="1:9">
      <c r="A2002" t="s">
        <v>1898</v>
      </c>
      <c r="B2002" s="1" t="str">
        <f>"20065607"</f>
        <v>20065607</v>
      </c>
      <c r="C2002" t="s">
        <v>343</v>
      </c>
      <c r="D2002" t="s">
        <v>1994</v>
      </c>
      <c r="E2002" s="2"/>
      <c r="F2002" t="s">
        <v>124</v>
      </c>
      <c r="G2002" t="s">
        <v>1034</v>
      </c>
      <c r="H2002" t="s">
        <v>1034</v>
      </c>
      <c r="I2002"/>
    </row>
    <row r="2003" spans="1:9">
      <c r="A2003" t="s">
        <v>1898</v>
      </c>
      <c r="B2003" s="1" t="str">
        <f>"20065676"</f>
        <v>20065676</v>
      </c>
      <c r="C2003" t="s">
        <v>343</v>
      </c>
      <c r="D2003" t="s">
        <v>2034</v>
      </c>
      <c r="E2003" s="2"/>
      <c r="F2003" t="s">
        <v>191</v>
      </c>
      <c r="G2003" t="s">
        <v>1034</v>
      </c>
      <c r="H2003" t="s">
        <v>1034</v>
      </c>
      <c r="I2003"/>
    </row>
    <row r="2004" spans="1:9">
      <c r="A2004" t="s">
        <v>1898</v>
      </c>
      <c r="B2004" s="1" t="str">
        <f>"20065911"</f>
        <v>20065911</v>
      </c>
      <c r="C2004" t="s">
        <v>343</v>
      </c>
      <c r="D2004" t="s">
        <v>2034</v>
      </c>
      <c r="E2004" s="2"/>
      <c r="F2004" t="s">
        <v>2002</v>
      </c>
      <c r="G2004" t="s">
        <v>120</v>
      </c>
      <c r="H2004" t="s">
        <v>120</v>
      </c>
      <c r="I2004"/>
    </row>
    <row r="2005" spans="1:9">
      <c r="A2005" t="s">
        <v>1898</v>
      </c>
      <c r="B2005" s="1" t="str">
        <f>"20065911.2"</f>
        <v>20065911.2</v>
      </c>
      <c r="C2005" t="s">
        <v>343</v>
      </c>
      <c r="D2005" t="s">
        <v>2034</v>
      </c>
      <c r="E2005" s="2"/>
      <c r="F2005" t="s">
        <v>2002</v>
      </c>
      <c r="G2005" t="s">
        <v>120</v>
      </c>
      <c r="H2005" t="s">
        <v>1088</v>
      </c>
      <c r="I2005"/>
    </row>
    <row r="2006" spans="1:9">
      <c r="A2006" t="s">
        <v>1898</v>
      </c>
      <c r="B2006" s="1" t="str">
        <f>"20073794"</f>
        <v>20073794</v>
      </c>
      <c r="C2006" t="s">
        <v>343</v>
      </c>
      <c r="D2006" t="s">
        <v>2035</v>
      </c>
      <c r="E2006" s="2"/>
      <c r="F2006" t="s">
        <v>2002</v>
      </c>
      <c r="G2006" t="s">
        <v>120</v>
      </c>
      <c r="H2006" t="s">
        <v>120</v>
      </c>
      <c r="I2006"/>
    </row>
    <row r="2007" spans="1:9">
      <c r="A2007" t="s">
        <v>1898</v>
      </c>
      <c r="B2007" s="1" t="str">
        <f>"20051440"</f>
        <v>20051440</v>
      </c>
      <c r="C2007" t="s">
        <v>343</v>
      </c>
      <c r="D2007" t="s">
        <v>2036</v>
      </c>
      <c r="E2007" s="2"/>
      <c r="F2007" t="s">
        <v>2008</v>
      </c>
      <c r="G2007" t="s">
        <v>120</v>
      </c>
      <c r="H2007" t="s">
        <v>120</v>
      </c>
      <c r="I2007"/>
    </row>
    <row r="2008" spans="1:9">
      <c r="A2008" t="s">
        <v>1898</v>
      </c>
      <c r="B2008" s="1" t="str">
        <f>"20051440.2"</f>
        <v>20051440.2</v>
      </c>
      <c r="C2008" t="s">
        <v>343</v>
      </c>
      <c r="D2008" t="s">
        <v>2036</v>
      </c>
      <c r="E2008" s="2"/>
      <c r="F2008" t="s">
        <v>2008</v>
      </c>
      <c r="G2008" t="s">
        <v>120</v>
      </c>
      <c r="H2008" t="s">
        <v>1088</v>
      </c>
      <c r="I2008"/>
    </row>
    <row r="2009" spans="1:9">
      <c r="A2009" t="s">
        <v>1898</v>
      </c>
      <c r="B2009" s="1" t="str">
        <f>"20065553"</f>
        <v>20065553</v>
      </c>
      <c r="C2009" t="s">
        <v>343</v>
      </c>
      <c r="D2009" t="s">
        <v>1911</v>
      </c>
      <c r="E2009" s="2"/>
      <c r="F2009" t="s">
        <v>124</v>
      </c>
      <c r="G2009" t="s">
        <v>1034</v>
      </c>
      <c r="H2009" t="s">
        <v>1034</v>
      </c>
      <c r="I2009"/>
    </row>
    <row r="2010" spans="1:9">
      <c r="A2010" t="s">
        <v>1898</v>
      </c>
      <c r="B2010" s="1" t="str">
        <f>"20113209"</f>
        <v>20113209</v>
      </c>
      <c r="C2010" t="s">
        <v>343</v>
      </c>
      <c r="D2010" t="s">
        <v>1911</v>
      </c>
      <c r="E2010" s="2"/>
      <c r="F2010" t="s">
        <v>2002</v>
      </c>
      <c r="G2010" t="s">
        <v>120</v>
      </c>
      <c r="H2010" t="s">
        <v>120</v>
      </c>
      <c r="I2010"/>
    </row>
    <row r="2011" spans="1:9">
      <c r="A2011" t="s">
        <v>1898</v>
      </c>
      <c r="B2011" s="1" t="str">
        <f>"20113209.2"</f>
        <v>20113209.2</v>
      </c>
      <c r="C2011" t="s">
        <v>343</v>
      </c>
      <c r="D2011" t="s">
        <v>1911</v>
      </c>
      <c r="E2011" s="2"/>
      <c r="F2011" t="s">
        <v>2002</v>
      </c>
      <c r="G2011" t="s">
        <v>120</v>
      </c>
      <c r="H2011" t="s">
        <v>1088</v>
      </c>
      <c r="I2011"/>
    </row>
    <row r="2012" spans="1:9">
      <c r="A2012" t="s">
        <v>1898</v>
      </c>
      <c r="B2012" s="1" t="str">
        <f>"20037413"</f>
        <v>20037413</v>
      </c>
      <c r="C2012" t="s">
        <v>343</v>
      </c>
      <c r="D2012" t="s">
        <v>2037</v>
      </c>
      <c r="E2012" s="2"/>
      <c r="F2012" t="s">
        <v>425</v>
      </c>
      <c r="G2012" t="s">
        <v>1034</v>
      </c>
      <c r="H2012" t="s">
        <v>1034</v>
      </c>
      <c r="I2012"/>
    </row>
    <row r="2013" spans="1:9">
      <c r="A2013" t="s">
        <v>1898</v>
      </c>
      <c r="B2013" s="1" t="str">
        <f>"20037413.2"</f>
        <v>20037413.2</v>
      </c>
      <c r="C2013" t="s">
        <v>343</v>
      </c>
      <c r="D2013" t="s">
        <v>2037</v>
      </c>
      <c r="E2013" s="2"/>
      <c r="F2013" t="s">
        <v>425</v>
      </c>
      <c r="G2013" t="s">
        <v>1034</v>
      </c>
      <c r="H2013" t="s">
        <v>1088</v>
      </c>
      <c r="I2013"/>
    </row>
    <row r="2014" spans="1:9">
      <c r="A2014" t="s">
        <v>1898</v>
      </c>
      <c r="B2014" s="1" t="str">
        <f>"20065928"</f>
        <v>20065928</v>
      </c>
      <c r="C2014" t="s">
        <v>343</v>
      </c>
      <c r="D2014" t="s">
        <v>2038</v>
      </c>
      <c r="E2014" s="2"/>
      <c r="F2014" t="s">
        <v>124</v>
      </c>
      <c r="G2014" t="s">
        <v>1034</v>
      </c>
      <c r="H2014" t="s">
        <v>1034</v>
      </c>
      <c r="I2014"/>
    </row>
    <row r="2015" spans="1:9">
      <c r="A2015" t="s">
        <v>1898</v>
      </c>
      <c r="B2015" s="1" t="str">
        <f>"20065928.2"</f>
        <v>20065928.2</v>
      </c>
      <c r="C2015" t="s">
        <v>343</v>
      </c>
      <c r="D2015" t="s">
        <v>2038</v>
      </c>
      <c r="E2015" s="2"/>
      <c r="F2015" t="s">
        <v>124</v>
      </c>
      <c r="G2015" t="s">
        <v>1034</v>
      </c>
      <c r="H2015" t="s">
        <v>1088</v>
      </c>
      <c r="I2015"/>
    </row>
    <row r="2016" spans="1:9">
      <c r="A2016" t="s">
        <v>1898</v>
      </c>
      <c r="B2016" s="1" t="str">
        <f>"20055738"</f>
        <v>20055738</v>
      </c>
      <c r="C2016" t="s">
        <v>343</v>
      </c>
      <c r="D2016" t="s">
        <v>1997</v>
      </c>
      <c r="E2016" s="2"/>
      <c r="F2016" t="s">
        <v>2039</v>
      </c>
      <c r="G2016" t="s">
        <v>1034</v>
      </c>
      <c r="H2016" t="s">
        <v>1034</v>
      </c>
      <c r="I2016"/>
    </row>
    <row r="2017" spans="1:9">
      <c r="A2017" t="s">
        <v>1898</v>
      </c>
      <c r="B2017" s="1" t="str">
        <f>"20055738.2"</f>
        <v>20055738.2</v>
      </c>
      <c r="C2017" t="s">
        <v>343</v>
      </c>
      <c r="D2017" t="s">
        <v>1997</v>
      </c>
      <c r="E2017" s="2"/>
      <c r="F2017" t="s">
        <v>2039</v>
      </c>
      <c r="G2017" t="s">
        <v>1034</v>
      </c>
      <c r="H2017" t="s">
        <v>1088</v>
      </c>
      <c r="I2017"/>
    </row>
    <row r="2018" spans="1:9">
      <c r="A2018" t="s">
        <v>1898</v>
      </c>
      <c r="B2018" s="1" t="str">
        <f>"20014603"</f>
        <v>20014603</v>
      </c>
      <c r="C2018" t="s">
        <v>2040</v>
      </c>
      <c r="D2018" t="s">
        <v>2041</v>
      </c>
      <c r="E2018" s="2"/>
      <c r="F2018" t="s">
        <v>492</v>
      </c>
      <c r="G2018" t="s">
        <v>156</v>
      </c>
      <c r="H2018" t="s">
        <v>156</v>
      </c>
      <c r="I2018"/>
    </row>
    <row r="2019" spans="1:9">
      <c r="A2019" t="s">
        <v>1898</v>
      </c>
      <c r="B2019" s="1" t="str">
        <f>"20014603.2"</f>
        <v>20014603.2</v>
      </c>
      <c r="C2019" t="s">
        <v>2040</v>
      </c>
      <c r="D2019" t="s">
        <v>2041</v>
      </c>
      <c r="E2019" s="2"/>
      <c r="F2019" t="s">
        <v>492</v>
      </c>
      <c r="G2019" t="s">
        <v>156</v>
      </c>
      <c r="H2019" t="s">
        <v>383</v>
      </c>
      <c r="I2019"/>
    </row>
    <row r="2020" spans="1:9">
      <c r="A2020" t="s">
        <v>1898</v>
      </c>
      <c r="B2020" s="1" t="str">
        <f>"20507251"</f>
        <v>20507251</v>
      </c>
      <c r="C2020" t="s">
        <v>2042</v>
      </c>
      <c r="D2020" t="s">
        <v>1994</v>
      </c>
      <c r="E2020" s="2"/>
      <c r="F2020" t="s">
        <v>124</v>
      </c>
      <c r="G2020" t="s">
        <v>120</v>
      </c>
      <c r="H2020" t="s">
        <v>120</v>
      </c>
      <c r="I2020"/>
    </row>
    <row r="2021" spans="1:9">
      <c r="A2021" t="s">
        <v>1898</v>
      </c>
      <c r="B2021" s="1" t="str">
        <f>"20057503"</f>
        <v>20057503</v>
      </c>
      <c r="C2021" t="s">
        <v>2042</v>
      </c>
      <c r="D2021" t="s">
        <v>2043</v>
      </c>
      <c r="E2021" s="2"/>
      <c r="F2021" t="s">
        <v>2044</v>
      </c>
      <c r="G2021" t="s">
        <v>156</v>
      </c>
      <c r="H2021" t="s">
        <v>156</v>
      </c>
      <c r="I2021"/>
    </row>
    <row r="2022" spans="1:9">
      <c r="A2022" t="s">
        <v>1898</v>
      </c>
      <c r="B2022" s="1" t="str">
        <f>"20057503.2"</f>
        <v>20057503.2</v>
      </c>
      <c r="C2022" t="s">
        <v>2042</v>
      </c>
      <c r="D2022" t="s">
        <v>2043</v>
      </c>
      <c r="E2022" s="2"/>
      <c r="F2022" t="s">
        <v>2044</v>
      </c>
      <c r="G2022" t="s">
        <v>156</v>
      </c>
      <c r="H2022" t="s">
        <v>383</v>
      </c>
      <c r="I2022"/>
    </row>
    <row r="2023" spans="1:9">
      <c r="A2023" t="s">
        <v>1898</v>
      </c>
      <c r="B2023" s="1" t="str">
        <f>"20836320"</f>
        <v>20836320</v>
      </c>
      <c r="C2023"/>
      <c r="D2023" t="s">
        <v>2045</v>
      </c>
      <c r="E2023" s="2"/>
      <c r="F2023" t="s">
        <v>129</v>
      </c>
      <c r="G2023" t="s">
        <v>122</v>
      </c>
      <c r="H2023" t="s">
        <v>122</v>
      </c>
      <c r="I2023"/>
    </row>
    <row r="2024" spans="1:9">
      <c r="A2024" t="s">
        <v>1898</v>
      </c>
      <c r="B2024" s="1" t="str">
        <f>"20119904"</f>
        <v>20119904</v>
      </c>
      <c r="C2024" t="s">
        <v>2046</v>
      </c>
      <c r="D2024" t="s">
        <v>1926</v>
      </c>
      <c r="E2024" s="2"/>
      <c r="F2024" t="s">
        <v>414</v>
      </c>
      <c r="G2024" t="s">
        <v>156</v>
      </c>
      <c r="H2024" t="s">
        <v>156</v>
      </c>
      <c r="I2024"/>
    </row>
    <row r="2025" spans="1:9">
      <c r="A2025" t="s">
        <v>1898</v>
      </c>
      <c r="B2025" s="1" t="str">
        <f>"20119904.2"</f>
        <v>20119904.2</v>
      </c>
      <c r="C2025" t="s">
        <v>2046</v>
      </c>
      <c r="D2025" t="s">
        <v>1926</v>
      </c>
      <c r="E2025" s="2"/>
      <c r="F2025" t="s">
        <v>414</v>
      </c>
      <c r="G2025" t="s">
        <v>156</v>
      </c>
      <c r="H2025" t="s">
        <v>383</v>
      </c>
      <c r="I2025"/>
    </row>
    <row r="2026" spans="1:9">
      <c r="A2026" t="s">
        <v>1898</v>
      </c>
      <c r="B2026" s="1" t="str">
        <f>"20058074"</f>
        <v>20058074</v>
      </c>
      <c r="C2026" t="s">
        <v>2046</v>
      </c>
      <c r="D2026" t="s">
        <v>2047</v>
      </c>
      <c r="E2026" s="2"/>
      <c r="F2026" t="s">
        <v>2021</v>
      </c>
      <c r="G2026" t="s">
        <v>120</v>
      </c>
      <c r="H2026" t="s">
        <v>120</v>
      </c>
      <c r="I2026"/>
    </row>
    <row r="2027" spans="1:9">
      <c r="A2027" t="s">
        <v>1898</v>
      </c>
      <c r="B2027" s="1" t="str">
        <f>"20058074.2"</f>
        <v>20058074.2</v>
      </c>
      <c r="C2027" t="s">
        <v>2046</v>
      </c>
      <c r="D2027" t="s">
        <v>2047</v>
      </c>
      <c r="E2027" s="2"/>
      <c r="F2027" t="s">
        <v>2021</v>
      </c>
      <c r="G2027" t="s">
        <v>120</v>
      </c>
      <c r="H2027" t="s">
        <v>1088</v>
      </c>
      <c r="I2027"/>
    </row>
    <row r="2028" spans="1:9">
      <c r="A2028" t="s">
        <v>1898</v>
      </c>
      <c r="B2028" s="1" t="str">
        <f>"20067113"</f>
        <v>20067113</v>
      </c>
      <c r="C2028" t="s">
        <v>2046</v>
      </c>
      <c r="D2028" t="s">
        <v>2048</v>
      </c>
      <c r="E2028" s="2"/>
      <c r="F2028" t="s">
        <v>1797</v>
      </c>
      <c r="G2028" t="s">
        <v>120</v>
      </c>
      <c r="H2028" t="s">
        <v>120</v>
      </c>
      <c r="I2028"/>
    </row>
    <row r="2029" spans="1:9">
      <c r="A2029" t="s">
        <v>1898</v>
      </c>
      <c r="B2029" s="1" t="str">
        <f>"20067113.2"</f>
        <v>20067113.2</v>
      </c>
      <c r="C2029" t="s">
        <v>2046</v>
      </c>
      <c r="D2029" t="s">
        <v>2048</v>
      </c>
      <c r="E2029" s="2"/>
      <c r="F2029" t="s">
        <v>1797</v>
      </c>
      <c r="G2029" t="s">
        <v>120</v>
      </c>
      <c r="H2029" t="s">
        <v>1088</v>
      </c>
      <c r="I2029"/>
    </row>
    <row r="2030" spans="1:9">
      <c r="A2030" t="s">
        <v>1898</v>
      </c>
      <c r="B2030" s="1" t="str">
        <f>"20077747"</f>
        <v>20077747</v>
      </c>
      <c r="C2030" t="s">
        <v>2046</v>
      </c>
      <c r="D2030" t="s">
        <v>1938</v>
      </c>
      <c r="E2030" s="2"/>
      <c r="F2030" t="s">
        <v>2002</v>
      </c>
      <c r="G2030" t="s">
        <v>120</v>
      </c>
      <c r="H2030" t="s">
        <v>120</v>
      </c>
      <c r="I2030"/>
    </row>
    <row r="2031" spans="1:9">
      <c r="A2031" t="s">
        <v>1898</v>
      </c>
      <c r="B2031" s="1" t="str">
        <f>"20077747.2"</f>
        <v>20077747.2</v>
      </c>
      <c r="C2031" t="s">
        <v>2046</v>
      </c>
      <c r="D2031" t="s">
        <v>1938</v>
      </c>
      <c r="E2031" s="2"/>
      <c r="F2031" t="s">
        <v>2002</v>
      </c>
      <c r="G2031" t="s">
        <v>120</v>
      </c>
      <c r="H2031" t="s">
        <v>1088</v>
      </c>
      <c r="I2031"/>
    </row>
    <row r="2032" spans="1:9">
      <c r="A2032" t="s">
        <v>1898</v>
      </c>
      <c r="B2032" s="1" t="str">
        <f>"20860059"</f>
        <v>20860059</v>
      </c>
      <c r="C2032" t="s">
        <v>2046</v>
      </c>
      <c r="D2032" t="s">
        <v>2049</v>
      </c>
      <c r="E2032" s="2"/>
      <c r="F2032" t="s">
        <v>1781</v>
      </c>
      <c r="G2032" t="s">
        <v>120</v>
      </c>
      <c r="H2032" t="s">
        <v>120</v>
      </c>
      <c r="I2032"/>
    </row>
    <row r="2033" spans="1:9">
      <c r="A2033" t="s">
        <v>1898</v>
      </c>
      <c r="B2033" s="1" t="str">
        <f>"20860059.2"</f>
        <v>20860059.2</v>
      </c>
      <c r="C2033" t="s">
        <v>2046</v>
      </c>
      <c r="D2033" t="s">
        <v>2049</v>
      </c>
      <c r="E2033" s="2"/>
      <c r="F2033" t="s">
        <v>1781</v>
      </c>
      <c r="G2033" t="s">
        <v>120</v>
      </c>
      <c r="H2033" t="s">
        <v>1088</v>
      </c>
      <c r="I2033"/>
    </row>
    <row r="2034" spans="1:9">
      <c r="A2034" t="s">
        <v>1898</v>
      </c>
      <c r="B2034" s="1" t="str">
        <f>"12004770"</f>
        <v>12004770</v>
      </c>
      <c r="C2034" t="s">
        <v>2050</v>
      </c>
      <c r="D2034" t="s">
        <v>2051</v>
      </c>
      <c r="E2034" s="2"/>
      <c r="F2034" t="s">
        <v>2052</v>
      </c>
      <c r="G2034"/>
      <c r="H2034" t="s">
        <v>2053</v>
      </c>
      <c r="I2034"/>
    </row>
    <row r="2035" spans="1:9">
      <c r="A2035" t="s">
        <v>1898</v>
      </c>
      <c r="B2035" s="1" t="str">
        <f>"12064750"</f>
        <v>12064750</v>
      </c>
      <c r="C2035" t="s">
        <v>2054</v>
      </c>
      <c r="D2035" t="s">
        <v>1899</v>
      </c>
      <c r="E2035" s="2"/>
      <c r="F2035" t="s">
        <v>1913</v>
      </c>
      <c r="G2035" t="s">
        <v>2055</v>
      </c>
      <c r="H2035" t="s">
        <v>1088</v>
      </c>
      <c r="I2035"/>
    </row>
    <row r="2036" spans="1:9">
      <c r="A2036" t="s">
        <v>1898</v>
      </c>
      <c r="B2036" s="1" t="str">
        <f>"20021069"</f>
        <v>20021069</v>
      </c>
      <c r="C2036" t="s">
        <v>1892</v>
      </c>
      <c r="D2036" t="s">
        <v>2056</v>
      </c>
      <c r="E2036" s="2"/>
      <c r="F2036" t="s">
        <v>1980</v>
      </c>
      <c r="G2036" t="s">
        <v>38</v>
      </c>
      <c r="H2036" t="s">
        <v>120</v>
      </c>
      <c r="I2036"/>
    </row>
    <row r="2037" spans="1:9">
      <c r="A2037" t="s">
        <v>1898</v>
      </c>
      <c r="B2037" s="1" t="str">
        <f>"21374094"</f>
        <v>21374094</v>
      </c>
      <c r="C2037" t="s">
        <v>1892</v>
      </c>
      <c r="D2037" t="s">
        <v>1920</v>
      </c>
      <c r="E2037" s="2"/>
      <c r="F2037" t="s">
        <v>2021</v>
      </c>
      <c r="G2037" t="s">
        <v>120</v>
      </c>
      <c r="H2037" t="s">
        <v>120</v>
      </c>
      <c r="I2037"/>
    </row>
    <row r="2038" spans="1:9">
      <c r="A2038" t="s">
        <v>1898</v>
      </c>
      <c r="B2038" s="1" t="str">
        <f>"20019714"</f>
        <v>20019714</v>
      </c>
      <c r="C2038" t="s">
        <v>1892</v>
      </c>
      <c r="D2038" t="s">
        <v>2038</v>
      </c>
      <c r="E2038" s="2"/>
      <c r="F2038" t="s">
        <v>1980</v>
      </c>
      <c r="G2038" t="s">
        <v>120</v>
      </c>
      <c r="H2038" t="s">
        <v>120</v>
      </c>
      <c r="I2038"/>
    </row>
    <row r="2039" spans="1:9">
      <c r="A2039" t="s">
        <v>1898</v>
      </c>
      <c r="B2039" s="1" t="str">
        <f>"20019714.2"</f>
        <v>20019714.2</v>
      </c>
      <c r="C2039" t="s">
        <v>1892</v>
      </c>
      <c r="D2039" t="s">
        <v>2038</v>
      </c>
      <c r="E2039" s="2"/>
      <c r="F2039" t="s">
        <v>1980</v>
      </c>
      <c r="G2039" t="s">
        <v>120</v>
      </c>
      <c r="H2039" t="s">
        <v>1088</v>
      </c>
      <c r="I2039"/>
    </row>
    <row r="2040" spans="1:9">
      <c r="A2040" t="s">
        <v>1898</v>
      </c>
      <c r="B2040" s="1" t="str">
        <f>"12520409"</f>
        <v>12520409</v>
      </c>
      <c r="C2040" t="s">
        <v>2057</v>
      </c>
      <c r="D2040" t="s">
        <v>2058</v>
      </c>
      <c r="E2040" s="2"/>
      <c r="F2040" t="s">
        <v>428</v>
      </c>
      <c r="G2040" t="s">
        <v>122</v>
      </c>
      <c r="H2040" t="s">
        <v>383</v>
      </c>
      <c r="I2040"/>
    </row>
    <row r="2041" spans="1:9">
      <c r="A2041" t="s">
        <v>2059</v>
      </c>
      <c r="B2041" s="1" t="str">
        <f>"12528851"</f>
        <v>12528851</v>
      </c>
      <c r="C2041" t="s">
        <v>260</v>
      </c>
      <c r="D2041" t="s">
        <v>2060</v>
      </c>
      <c r="E2041" s="2"/>
      <c r="F2041" t="s">
        <v>90</v>
      </c>
      <c r="G2041" t="s">
        <v>80</v>
      </c>
      <c r="H2041" t="s">
        <v>80</v>
      </c>
      <c r="I2041"/>
    </row>
    <row r="2042" spans="1:9">
      <c r="A2042" t="s">
        <v>2059</v>
      </c>
      <c r="B2042" s="1" t="str">
        <f>"24184481"</f>
        <v>24184481</v>
      </c>
      <c r="C2042" t="s">
        <v>1467</v>
      </c>
      <c r="D2042" t="s">
        <v>2061</v>
      </c>
      <c r="E2042" s="2"/>
      <c r="F2042" t="s">
        <v>22</v>
      </c>
      <c r="G2042" t="s">
        <v>80</v>
      </c>
      <c r="H2042" t="s">
        <v>80</v>
      </c>
      <c r="I2042"/>
    </row>
    <row r="2043" spans="1:9">
      <c r="A2043" t="s">
        <v>2059</v>
      </c>
      <c r="B2043" s="1" t="str">
        <f>"20133689"</f>
        <v>20133689</v>
      </c>
      <c r="C2043" t="s">
        <v>1467</v>
      </c>
      <c r="D2043" t="s">
        <v>2062</v>
      </c>
      <c r="E2043" s="2"/>
      <c r="F2043" t="s">
        <v>22</v>
      </c>
      <c r="G2043" t="s">
        <v>80</v>
      </c>
      <c r="H2043" t="s">
        <v>80</v>
      </c>
      <c r="I2043"/>
    </row>
    <row r="2044" spans="1:9">
      <c r="A2044" t="s">
        <v>2059</v>
      </c>
      <c r="B2044" s="1" t="str">
        <f>"22748568"</f>
        <v>22748568</v>
      </c>
      <c r="C2044" t="s">
        <v>1467</v>
      </c>
      <c r="D2044" t="s">
        <v>2063</v>
      </c>
      <c r="E2044" s="2"/>
      <c r="F2044" t="s">
        <v>22</v>
      </c>
      <c r="G2044" t="s">
        <v>299</v>
      </c>
      <c r="H2044" t="s">
        <v>299</v>
      </c>
      <c r="I2044"/>
    </row>
    <row r="2045" spans="1:9">
      <c r="A2045" t="s">
        <v>2059</v>
      </c>
      <c r="B2045" s="1" t="str">
        <f>"20133580"</f>
        <v>20133580</v>
      </c>
      <c r="C2045" t="s">
        <v>1467</v>
      </c>
      <c r="D2045" t="s">
        <v>2064</v>
      </c>
      <c r="E2045" s="2"/>
      <c r="F2045" t="s">
        <v>22</v>
      </c>
      <c r="G2045" t="s">
        <v>80</v>
      </c>
      <c r="H2045" t="s">
        <v>80</v>
      </c>
      <c r="I2045"/>
    </row>
    <row r="2046" spans="1:9">
      <c r="A2046" t="s">
        <v>2059</v>
      </c>
      <c r="B2046" s="1" t="str">
        <f>"24184467"</f>
        <v>24184467</v>
      </c>
      <c r="C2046" t="s">
        <v>1467</v>
      </c>
      <c r="D2046" t="s">
        <v>2065</v>
      </c>
      <c r="E2046" s="2"/>
      <c r="F2046" t="s">
        <v>22</v>
      </c>
      <c r="G2046" t="s">
        <v>227</v>
      </c>
      <c r="H2046" t="s">
        <v>227</v>
      </c>
      <c r="I2046"/>
    </row>
    <row r="2047" spans="1:9">
      <c r="A2047" t="s">
        <v>2059</v>
      </c>
      <c r="B2047" s="1" t="str">
        <f>"20133368"</f>
        <v>20133368</v>
      </c>
      <c r="C2047" t="s">
        <v>1467</v>
      </c>
      <c r="D2047" t="s">
        <v>2066</v>
      </c>
      <c r="E2047" s="2"/>
      <c r="F2047" t="s">
        <v>22</v>
      </c>
      <c r="G2047" t="s">
        <v>227</v>
      </c>
      <c r="H2047" t="s">
        <v>227</v>
      </c>
      <c r="I2047"/>
    </row>
    <row r="2048" spans="1:9">
      <c r="A2048" t="s">
        <v>2059</v>
      </c>
      <c r="B2048" s="1" t="str">
        <f>"20133290"</f>
        <v>20133290</v>
      </c>
      <c r="C2048" t="s">
        <v>1467</v>
      </c>
      <c r="D2048" t="s">
        <v>2067</v>
      </c>
      <c r="E2048" s="2"/>
      <c r="F2048" t="s">
        <v>22</v>
      </c>
      <c r="G2048" t="s">
        <v>227</v>
      </c>
      <c r="H2048" t="s">
        <v>227</v>
      </c>
      <c r="I2048"/>
    </row>
    <row r="2049" spans="1:9">
      <c r="A2049" t="s">
        <v>2059</v>
      </c>
      <c r="B2049" s="1" t="str">
        <f>"20133665"</f>
        <v>20133665</v>
      </c>
      <c r="C2049" t="s">
        <v>1467</v>
      </c>
      <c r="D2049" t="s">
        <v>2068</v>
      </c>
      <c r="E2049" s="2"/>
      <c r="F2049" t="s">
        <v>22</v>
      </c>
      <c r="G2049" t="s">
        <v>80</v>
      </c>
      <c r="H2049" t="s">
        <v>80</v>
      </c>
      <c r="I2049"/>
    </row>
    <row r="2050" spans="1:9">
      <c r="A2050" t="s">
        <v>2059</v>
      </c>
      <c r="B2050" s="1" t="str">
        <f>"20080402"</f>
        <v>20080402</v>
      </c>
      <c r="C2050" t="s">
        <v>2069</v>
      </c>
      <c r="D2050" t="s">
        <v>2070</v>
      </c>
      <c r="E2050" s="2"/>
      <c r="F2050" t="s">
        <v>278</v>
      </c>
      <c r="G2050" t="s">
        <v>243</v>
      </c>
      <c r="H2050" t="s">
        <v>243</v>
      </c>
      <c r="I2050"/>
    </row>
    <row r="2051" spans="1:9">
      <c r="A2051" t="s">
        <v>2059</v>
      </c>
      <c r="B2051" s="1" t="str">
        <f>"20080303"</f>
        <v>20080303</v>
      </c>
      <c r="C2051" t="s">
        <v>2069</v>
      </c>
      <c r="D2051" t="s">
        <v>2071</v>
      </c>
      <c r="E2051" s="2"/>
      <c r="F2051" t="s">
        <v>278</v>
      </c>
      <c r="G2051" t="s">
        <v>533</v>
      </c>
      <c r="H2051" t="s">
        <v>533</v>
      </c>
      <c r="I2051"/>
    </row>
    <row r="2052" spans="1:9">
      <c r="A2052" t="s">
        <v>2059</v>
      </c>
      <c r="B2052" s="1" t="str">
        <f>"20080174"</f>
        <v>20080174</v>
      </c>
      <c r="C2052" t="s">
        <v>2069</v>
      </c>
      <c r="D2052" t="s">
        <v>2072</v>
      </c>
      <c r="E2052" s="2"/>
      <c r="F2052" t="s">
        <v>278</v>
      </c>
      <c r="G2052" t="s">
        <v>695</v>
      </c>
      <c r="H2052" t="s">
        <v>695</v>
      </c>
      <c r="I2052"/>
    </row>
    <row r="2053" spans="1:9">
      <c r="A2053" t="s">
        <v>2059</v>
      </c>
      <c r="B2053" s="1" t="str">
        <f>"20083328"</f>
        <v>20083328</v>
      </c>
      <c r="C2053" t="s">
        <v>2069</v>
      </c>
      <c r="D2053" t="s">
        <v>2073</v>
      </c>
      <c r="E2053" s="2"/>
      <c r="F2053" t="s">
        <v>22</v>
      </c>
      <c r="G2053" t="s">
        <v>13</v>
      </c>
      <c r="H2053" t="s">
        <v>13</v>
      </c>
      <c r="I2053"/>
    </row>
    <row r="2054" spans="1:9">
      <c r="A2054" t="s">
        <v>2059</v>
      </c>
      <c r="B2054" s="1" t="str">
        <f>"20117542"</f>
        <v>20117542</v>
      </c>
      <c r="C2054" t="s">
        <v>2069</v>
      </c>
      <c r="D2054" t="s">
        <v>2074</v>
      </c>
      <c r="E2054" s="2"/>
      <c r="F2054" t="s">
        <v>22</v>
      </c>
      <c r="G2054" t="s">
        <v>13</v>
      </c>
      <c r="H2054" t="s">
        <v>13</v>
      </c>
      <c r="I2054"/>
    </row>
    <row r="2055" spans="1:9">
      <c r="A2055" t="s">
        <v>2059</v>
      </c>
      <c r="B2055" s="1" t="str">
        <f>"20607357"</f>
        <v>20607357</v>
      </c>
      <c r="C2055" t="s">
        <v>2069</v>
      </c>
      <c r="D2055" t="s">
        <v>2075</v>
      </c>
      <c r="E2055" s="2"/>
      <c r="F2055" t="s">
        <v>90</v>
      </c>
      <c r="G2055" t="s">
        <v>616</v>
      </c>
      <c r="H2055" t="s">
        <v>616</v>
      </c>
      <c r="I2055"/>
    </row>
    <row r="2056" spans="1:9">
      <c r="A2056" t="s">
        <v>2059</v>
      </c>
      <c r="B2056" s="1" t="str">
        <f>"20607395"</f>
        <v>20607395</v>
      </c>
      <c r="C2056" t="s">
        <v>2069</v>
      </c>
      <c r="D2056" t="s">
        <v>2076</v>
      </c>
      <c r="E2056" s="2"/>
      <c r="F2056" t="s">
        <v>90</v>
      </c>
      <c r="G2056" t="s">
        <v>616</v>
      </c>
      <c r="H2056" t="s">
        <v>616</v>
      </c>
      <c r="I2056"/>
    </row>
    <row r="2057" spans="1:9">
      <c r="A2057" t="s">
        <v>2059</v>
      </c>
      <c r="B2057" s="1" t="str">
        <f>"20521394"</f>
        <v>20521394</v>
      </c>
      <c r="C2057" t="s">
        <v>2069</v>
      </c>
      <c r="D2057" t="s">
        <v>2077</v>
      </c>
      <c r="E2057" s="2"/>
      <c r="F2057" t="s">
        <v>22</v>
      </c>
      <c r="G2057" t="s">
        <v>243</v>
      </c>
      <c r="H2057" t="s">
        <v>243</v>
      </c>
      <c r="I2057"/>
    </row>
    <row r="2058" spans="1:9">
      <c r="A2058" t="s">
        <v>2059</v>
      </c>
      <c r="B2058" s="1" t="str">
        <f>"20077136"</f>
        <v>20077136</v>
      </c>
      <c r="C2058" t="s">
        <v>2069</v>
      </c>
      <c r="D2058" t="s">
        <v>2078</v>
      </c>
      <c r="E2058" s="2"/>
      <c r="F2058" t="s">
        <v>90</v>
      </c>
      <c r="G2058" t="s">
        <v>616</v>
      </c>
      <c r="H2058" t="s">
        <v>616</v>
      </c>
      <c r="I2058"/>
    </row>
    <row r="2059" spans="1:9">
      <c r="A2059" t="s">
        <v>2059</v>
      </c>
      <c r="B2059" s="1" t="str">
        <f>"20208583"</f>
        <v>20208583</v>
      </c>
      <c r="C2059" t="s">
        <v>2069</v>
      </c>
      <c r="D2059" t="s">
        <v>2079</v>
      </c>
      <c r="E2059" s="2"/>
      <c r="F2059" t="s">
        <v>22</v>
      </c>
      <c r="G2059" t="s">
        <v>616</v>
      </c>
      <c r="H2059" t="s">
        <v>616</v>
      </c>
      <c r="I2059"/>
    </row>
    <row r="2060" spans="1:9">
      <c r="A2060" t="s">
        <v>2059</v>
      </c>
      <c r="B2060" s="1" t="str">
        <f>"20077525"</f>
        <v>20077525</v>
      </c>
      <c r="C2060" t="s">
        <v>2069</v>
      </c>
      <c r="D2060" t="s">
        <v>2080</v>
      </c>
      <c r="E2060" s="2"/>
      <c r="F2060" t="s">
        <v>22</v>
      </c>
      <c r="G2060" t="s">
        <v>177</v>
      </c>
      <c r="H2060" t="s">
        <v>177</v>
      </c>
      <c r="I2060"/>
    </row>
    <row r="2061" spans="1:9">
      <c r="A2061" t="s">
        <v>2059</v>
      </c>
      <c r="B2061" s="1" t="str">
        <f>"20607371"</f>
        <v>20607371</v>
      </c>
      <c r="C2061" t="s">
        <v>2069</v>
      </c>
      <c r="D2061" t="s">
        <v>2081</v>
      </c>
      <c r="E2061" s="2"/>
      <c r="F2061" t="s">
        <v>90</v>
      </c>
      <c r="G2061" t="s">
        <v>616</v>
      </c>
      <c r="H2061" t="s">
        <v>616</v>
      </c>
      <c r="I2061"/>
    </row>
    <row r="2062" spans="1:9">
      <c r="A2062" t="s">
        <v>2059</v>
      </c>
      <c r="B2062" s="1" t="str">
        <f>"20077587"</f>
        <v>20077587</v>
      </c>
      <c r="C2062" t="s">
        <v>2069</v>
      </c>
      <c r="D2062" t="s">
        <v>2082</v>
      </c>
      <c r="E2062" s="2"/>
      <c r="F2062" t="s">
        <v>22</v>
      </c>
      <c r="G2062" t="s">
        <v>299</v>
      </c>
      <c r="H2062" t="s">
        <v>299</v>
      </c>
      <c r="I2062"/>
    </row>
    <row r="2063" spans="1:9">
      <c r="A2063" t="s">
        <v>2059</v>
      </c>
      <c r="B2063" s="1" t="str">
        <f>"20077457"</f>
        <v>20077457</v>
      </c>
      <c r="C2063" t="s">
        <v>2069</v>
      </c>
      <c r="D2063" t="s">
        <v>2083</v>
      </c>
      <c r="E2063" s="2"/>
      <c r="F2063" t="s">
        <v>22</v>
      </c>
      <c r="G2063" t="s">
        <v>177</v>
      </c>
      <c r="H2063" t="s">
        <v>177</v>
      </c>
      <c r="I2063"/>
    </row>
    <row r="2064" spans="1:9">
      <c r="A2064" t="s">
        <v>2059</v>
      </c>
      <c r="B2064" s="1" t="str">
        <f>"20152970"</f>
        <v>20152970</v>
      </c>
      <c r="C2064" t="s">
        <v>2069</v>
      </c>
      <c r="D2064" t="s">
        <v>2084</v>
      </c>
      <c r="E2064" s="2"/>
      <c r="F2064" t="s">
        <v>22</v>
      </c>
      <c r="G2064" t="s">
        <v>80</v>
      </c>
      <c r="H2064" t="s">
        <v>80</v>
      </c>
      <c r="I2064"/>
    </row>
    <row r="2065" spans="1:9">
      <c r="A2065" t="s">
        <v>2059</v>
      </c>
      <c r="B2065" s="1" t="str">
        <f>"20077648"</f>
        <v>20077648</v>
      </c>
      <c r="C2065" t="s">
        <v>2069</v>
      </c>
      <c r="D2065" t="s">
        <v>2085</v>
      </c>
      <c r="E2065" s="2"/>
      <c r="F2065" t="s">
        <v>22</v>
      </c>
      <c r="G2065" t="s">
        <v>299</v>
      </c>
      <c r="H2065" t="s">
        <v>299</v>
      </c>
      <c r="I2065"/>
    </row>
    <row r="2066" spans="1:9">
      <c r="A2066" t="s">
        <v>2059</v>
      </c>
      <c r="B2066" s="1" t="str">
        <f>"20149062"</f>
        <v>20149062</v>
      </c>
      <c r="C2066" t="s">
        <v>2069</v>
      </c>
      <c r="D2066" t="s">
        <v>2086</v>
      </c>
      <c r="E2066" s="2"/>
      <c r="F2066" t="s">
        <v>46</v>
      </c>
      <c r="G2066" t="s">
        <v>695</v>
      </c>
      <c r="H2066" t="s">
        <v>695</v>
      </c>
      <c r="I2066"/>
    </row>
    <row r="2067" spans="1:9">
      <c r="A2067" t="s">
        <v>2059</v>
      </c>
      <c r="B2067" s="1" t="str">
        <f>"26464312"</f>
        <v>26464312</v>
      </c>
      <c r="C2067" t="s">
        <v>2069</v>
      </c>
      <c r="D2067" t="s">
        <v>2087</v>
      </c>
      <c r="E2067" s="2"/>
      <c r="F2067" t="s">
        <v>90</v>
      </c>
      <c r="G2067"/>
      <c r="H2067" t="s">
        <v>243</v>
      </c>
      <c r="I2067"/>
    </row>
    <row r="2068" spans="1:9">
      <c r="A2068" t="s">
        <v>2059</v>
      </c>
      <c r="B2068" s="1" t="str">
        <f>"20112363"</f>
        <v>20112363</v>
      </c>
      <c r="C2068" t="s">
        <v>2088</v>
      </c>
      <c r="D2068" t="s">
        <v>2089</v>
      </c>
      <c r="E2068" s="2"/>
      <c r="F2068" t="s">
        <v>22</v>
      </c>
      <c r="G2068" t="s">
        <v>80</v>
      </c>
      <c r="H2068" t="s">
        <v>80</v>
      </c>
      <c r="I2068"/>
    </row>
    <row r="2069" spans="1:9">
      <c r="A2069" t="s">
        <v>2059</v>
      </c>
      <c r="B2069" s="1" t="str">
        <f>"20111977"</f>
        <v>20111977</v>
      </c>
      <c r="C2069" t="s">
        <v>2088</v>
      </c>
      <c r="D2069" t="s">
        <v>2090</v>
      </c>
      <c r="E2069" s="2"/>
      <c r="F2069" t="s">
        <v>22</v>
      </c>
      <c r="G2069" t="s">
        <v>80</v>
      </c>
      <c r="H2069" t="s">
        <v>80</v>
      </c>
      <c r="I2069"/>
    </row>
    <row r="2070" spans="1:9">
      <c r="A2070" t="s">
        <v>2059</v>
      </c>
      <c r="B2070" s="1" t="str">
        <f>"20112264"</f>
        <v>20112264</v>
      </c>
      <c r="C2070" t="s">
        <v>2088</v>
      </c>
      <c r="D2070" t="s">
        <v>2091</v>
      </c>
      <c r="E2070" s="2"/>
      <c r="F2070" t="s">
        <v>22</v>
      </c>
      <c r="G2070" t="s">
        <v>80</v>
      </c>
      <c r="H2070" t="s">
        <v>80</v>
      </c>
      <c r="I2070"/>
    </row>
    <row r="2071" spans="1:9">
      <c r="A2071" t="s">
        <v>2059</v>
      </c>
      <c r="B2071" s="1" t="str">
        <f>"20051681"</f>
        <v>20051681</v>
      </c>
      <c r="C2071" t="s">
        <v>2088</v>
      </c>
      <c r="D2071" t="s">
        <v>2092</v>
      </c>
      <c r="E2071" s="2"/>
      <c r="F2071" t="s">
        <v>22</v>
      </c>
      <c r="G2071" t="s">
        <v>227</v>
      </c>
      <c r="H2071" t="s">
        <v>227</v>
      </c>
      <c r="I2071"/>
    </row>
    <row r="2072" spans="1:9">
      <c r="A2072" t="s">
        <v>2059</v>
      </c>
      <c r="B2072" s="1" t="str">
        <f>"20111878"</f>
        <v>20111878</v>
      </c>
      <c r="C2072" t="s">
        <v>2088</v>
      </c>
      <c r="D2072" t="s">
        <v>2093</v>
      </c>
      <c r="E2072" s="2"/>
      <c r="F2072" t="s">
        <v>22</v>
      </c>
      <c r="G2072" t="s">
        <v>80</v>
      </c>
      <c r="H2072" t="s">
        <v>80</v>
      </c>
      <c r="I2072"/>
    </row>
    <row r="2073" spans="1:9">
      <c r="A2073" t="s">
        <v>2059</v>
      </c>
      <c r="B2073" s="1" t="str">
        <f>"20112592"</f>
        <v>20112592</v>
      </c>
      <c r="C2073" t="s">
        <v>2088</v>
      </c>
      <c r="D2073" t="s">
        <v>2094</v>
      </c>
      <c r="E2073" s="2"/>
      <c r="F2073" t="s">
        <v>22</v>
      </c>
      <c r="G2073" t="s">
        <v>80</v>
      </c>
      <c r="H2073" t="s">
        <v>80</v>
      </c>
      <c r="I2073"/>
    </row>
    <row r="2074" spans="1:9">
      <c r="A2074" t="s">
        <v>2059</v>
      </c>
      <c r="B2074" s="1" t="str">
        <f>"20741310"</f>
        <v>20741310</v>
      </c>
      <c r="C2074" t="s">
        <v>2088</v>
      </c>
      <c r="D2074" t="s">
        <v>2095</v>
      </c>
      <c r="E2074" s="2"/>
      <c r="F2074" t="s">
        <v>22</v>
      </c>
      <c r="G2074" t="s">
        <v>940</v>
      </c>
      <c r="H2074" t="s">
        <v>940</v>
      </c>
      <c r="I2074"/>
    </row>
    <row r="2075" spans="1:9">
      <c r="A2075" t="s">
        <v>2059</v>
      </c>
      <c r="B2075" s="1" t="str">
        <f>"20111755"</f>
        <v>20111755</v>
      </c>
      <c r="C2075" t="s">
        <v>2088</v>
      </c>
      <c r="D2075" t="s">
        <v>2096</v>
      </c>
      <c r="E2075" s="2"/>
      <c r="F2075" t="s">
        <v>22</v>
      </c>
      <c r="G2075" t="s">
        <v>940</v>
      </c>
      <c r="H2075" t="s">
        <v>940</v>
      </c>
      <c r="I2075"/>
    </row>
    <row r="2076" spans="1:9">
      <c r="A2076" t="s">
        <v>2059</v>
      </c>
      <c r="B2076" s="1" t="str">
        <f>"20771800"</f>
        <v>20771800</v>
      </c>
      <c r="C2076" t="s">
        <v>2088</v>
      </c>
      <c r="D2076" t="s">
        <v>2097</v>
      </c>
      <c r="E2076" s="2"/>
      <c r="F2076" t="s">
        <v>22</v>
      </c>
      <c r="G2076" t="s">
        <v>227</v>
      </c>
      <c r="H2076" t="s">
        <v>227</v>
      </c>
      <c r="I2076"/>
    </row>
    <row r="2077" spans="1:9">
      <c r="A2077" t="s">
        <v>2059</v>
      </c>
      <c r="B2077" s="1" t="str">
        <f>"20112776"</f>
        <v>20112776</v>
      </c>
      <c r="C2077" t="s">
        <v>2088</v>
      </c>
      <c r="D2077" t="s">
        <v>2098</v>
      </c>
      <c r="E2077" s="2"/>
      <c r="F2077" t="s">
        <v>22</v>
      </c>
      <c r="G2077" t="s">
        <v>80</v>
      </c>
      <c r="H2077" t="s">
        <v>80</v>
      </c>
      <c r="I2077"/>
    </row>
    <row r="2078" spans="1:9">
      <c r="A2078" t="s">
        <v>2059</v>
      </c>
      <c r="B2078" s="1" t="str">
        <f>"12528850"</f>
        <v>12528850</v>
      </c>
      <c r="C2078" t="s">
        <v>2099</v>
      </c>
      <c r="D2078" t="s">
        <v>2100</v>
      </c>
      <c r="E2078" s="2"/>
      <c r="F2078" t="s">
        <v>79</v>
      </c>
      <c r="G2078" t="s">
        <v>937</v>
      </c>
      <c r="H2078" t="s">
        <v>937</v>
      </c>
      <c r="I2078"/>
    </row>
    <row r="2079" spans="1:9">
      <c r="A2079" t="s">
        <v>2059</v>
      </c>
      <c r="B2079" s="1" t="str">
        <f>"20278106"</f>
        <v>20278106</v>
      </c>
      <c r="C2079" t="s">
        <v>2101</v>
      </c>
      <c r="D2079" t="s">
        <v>2102</v>
      </c>
      <c r="E2079" s="2"/>
      <c r="F2079" t="s">
        <v>22</v>
      </c>
      <c r="G2079" t="s">
        <v>80</v>
      </c>
      <c r="H2079" t="s">
        <v>80</v>
      </c>
      <c r="I2079"/>
    </row>
    <row r="2080" spans="1:9">
      <c r="A2080" t="s">
        <v>2059</v>
      </c>
      <c r="B2080" s="1" t="str">
        <f>"20076771"</f>
        <v>20076771</v>
      </c>
      <c r="C2080" t="s">
        <v>2103</v>
      </c>
      <c r="D2080" t="s">
        <v>2104</v>
      </c>
      <c r="E2080" s="2"/>
      <c r="F2080" t="s">
        <v>22</v>
      </c>
      <c r="G2080" t="s">
        <v>533</v>
      </c>
      <c r="H2080" t="s">
        <v>533</v>
      </c>
      <c r="I2080"/>
    </row>
    <row r="2081" spans="1:9">
      <c r="A2081" t="s">
        <v>2059</v>
      </c>
      <c r="B2081" s="1" t="str">
        <f>"20834754"</f>
        <v>20834754</v>
      </c>
      <c r="C2081" t="s">
        <v>209</v>
      </c>
      <c r="D2081" t="s">
        <v>2105</v>
      </c>
      <c r="E2081" s="2"/>
      <c r="F2081" t="s">
        <v>22</v>
      </c>
      <c r="G2081" t="s">
        <v>80</v>
      </c>
      <c r="H2081" t="s">
        <v>80</v>
      </c>
      <c r="I2081"/>
    </row>
    <row r="2082" spans="1:9">
      <c r="A2082" t="s">
        <v>2059</v>
      </c>
      <c r="B2082" s="1" t="str">
        <f>"20065618"</f>
        <v>20065618</v>
      </c>
      <c r="C2082" t="s">
        <v>209</v>
      </c>
      <c r="D2082" t="s">
        <v>2106</v>
      </c>
      <c r="E2082" s="2"/>
      <c r="F2082" t="s">
        <v>22</v>
      </c>
      <c r="G2082" t="s">
        <v>80</v>
      </c>
      <c r="H2082" t="s">
        <v>80</v>
      </c>
      <c r="I2082"/>
    </row>
    <row r="2083" spans="1:9">
      <c r="A2083" t="s">
        <v>2059</v>
      </c>
      <c r="B2083" s="1" t="str">
        <f>"20065616"</f>
        <v>20065616</v>
      </c>
      <c r="C2083" t="s">
        <v>209</v>
      </c>
      <c r="D2083" t="s">
        <v>2107</v>
      </c>
      <c r="E2083" s="2"/>
      <c r="F2083" t="s">
        <v>22</v>
      </c>
      <c r="G2083" t="s">
        <v>80</v>
      </c>
      <c r="H2083" t="s">
        <v>80</v>
      </c>
      <c r="I2083"/>
    </row>
    <row r="2084" spans="1:9">
      <c r="A2084" t="s">
        <v>2059</v>
      </c>
      <c r="B2084" s="1" t="str">
        <f>"28110050"</f>
        <v>28110050</v>
      </c>
      <c r="C2084" t="s">
        <v>209</v>
      </c>
      <c r="D2084" t="s">
        <v>2108</v>
      </c>
      <c r="E2084" s="2"/>
      <c r="F2084" t="s">
        <v>22</v>
      </c>
      <c r="G2084" t="s">
        <v>227</v>
      </c>
      <c r="H2084" t="s">
        <v>227</v>
      </c>
      <c r="I2084"/>
    </row>
    <row r="2085" spans="1:9">
      <c r="A2085" t="s">
        <v>2059</v>
      </c>
      <c r="B2085" s="1" t="str">
        <f>"28110052"</f>
        <v>28110052</v>
      </c>
      <c r="C2085" t="s">
        <v>209</v>
      </c>
      <c r="D2085" t="s">
        <v>2109</v>
      </c>
      <c r="E2085" s="2"/>
      <c r="F2085" t="s">
        <v>22</v>
      </c>
      <c r="G2085" t="s">
        <v>177</v>
      </c>
      <c r="H2085" t="s">
        <v>177</v>
      </c>
      <c r="I2085"/>
    </row>
    <row r="2086" spans="1:9">
      <c r="A2086" t="s">
        <v>2059</v>
      </c>
      <c r="B2086" s="1" t="str">
        <f>"20834739"</f>
        <v>20834739</v>
      </c>
      <c r="C2086" t="s">
        <v>209</v>
      </c>
      <c r="D2086" t="s">
        <v>2090</v>
      </c>
      <c r="E2086" s="2"/>
      <c r="F2086" t="s">
        <v>22</v>
      </c>
      <c r="G2086" t="s">
        <v>82</v>
      </c>
      <c r="H2086" t="s">
        <v>82</v>
      </c>
      <c r="I2086"/>
    </row>
    <row r="2087" spans="1:9">
      <c r="A2087" t="s">
        <v>2059</v>
      </c>
      <c r="B2087" s="1" t="str">
        <f>"20834753"</f>
        <v>20834753</v>
      </c>
      <c r="C2087" t="s">
        <v>209</v>
      </c>
      <c r="D2087" t="s">
        <v>2110</v>
      </c>
      <c r="E2087" s="2"/>
      <c r="F2087" t="s">
        <v>22</v>
      </c>
      <c r="G2087" t="s">
        <v>82</v>
      </c>
      <c r="H2087" t="s">
        <v>82</v>
      </c>
      <c r="I2087"/>
    </row>
    <row r="2088" spans="1:9">
      <c r="A2088" t="s">
        <v>2059</v>
      </c>
      <c r="B2088" s="1" t="str">
        <f>"20276874"</f>
        <v>20276874</v>
      </c>
      <c r="C2088" t="s">
        <v>209</v>
      </c>
      <c r="D2088" t="s">
        <v>2111</v>
      </c>
      <c r="E2088" s="2"/>
      <c r="F2088" t="s">
        <v>295</v>
      </c>
      <c r="G2088" t="s">
        <v>80</v>
      </c>
      <c r="H2088" t="s">
        <v>80</v>
      </c>
      <c r="I2088"/>
    </row>
    <row r="2089" spans="1:9">
      <c r="A2089" t="s">
        <v>2059</v>
      </c>
      <c r="B2089" s="1" t="str">
        <f>"20834715"</f>
        <v>20834715</v>
      </c>
      <c r="C2089" t="s">
        <v>209</v>
      </c>
      <c r="D2089" t="s">
        <v>2112</v>
      </c>
      <c r="E2089" s="2"/>
      <c r="F2089" t="s">
        <v>22</v>
      </c>
      <c r="G2089" t="s">
        <v>177</v>
      </c>
      <c r="H2089" t="s">
        <v>177</v>
      </c>
      <c r="I2089"/>
    </row>
    <row r="2090" spans="1:9">
      <c r="A2090" t="s">
        <v>2059</v>
      </c>
      <c r="B2090" s="1" t="str">
        <f>"20841676"</f>
        <v>20841676</v>
      </c>
      <c r="C2090" t="s">
        <v>209</v>
      </c>
      <c r="D2090" t="s">
        <v>2113</v>
      </c>
      <c r="E2090" s="2"/>
      <c r="F2090" t="s">
        <v>90</v>
      </c>
      <c r="G2090" t="s">
        <v>80</v>
      </c>
      <c r="H2090" t="s">
        <v>80</v>
      </c>
      <c r="I2090"/>
    </row>
    <row r="2091" spans="1:9">
      <c r="A2091" t="s">
        <v>2059</v>
      </c>
      <c r="B2091" s="1" t="str">
        <f>"20276904"</f>
        <v>20276904</v>
      </c>
      <c r="C2091" t="s">
        <v>209</v>
      </c>
      <c r="D2091" t="s">
        <v>2114</v>
      </c>
      <c r="E2091" s="2"/>
      <c r="F2091" t="s">
        <v>90</v>
      </c>
      <c r="G2091" t="s">
        <v>80</v>
      </c>
      <c r="H2091" t="s">
        <v>80</v>
      </c>
      <c r="I2091"/>
    </row>
    <row r="2092" spans="1:9">
      <c r="A2092" t="s">
        <v>2059</v>
      </c>
      <c r="B2092" s="1" t="str">
        <f>"20611498"</f>
        <v>20611498</v>
      </c>
      <c r="C2092" t="s">
        <v>209</v>
      </c>
      <c r="D2092" t="s">
        <v>2115</v>
      </c>
      <c r="E2092" s="2"/>
      <c r="F2092" t="s">
        <v>90</v>
      </c>
      <c r="G2092" t="s">
        <v>533</v>
      </c>
      <c r="H2092" t="s">
        <v>533</v>
      </c>
      <c r="I2092"/>
    </row>
    <row r="2093" spans="1:9">
      <c r="A2093" t="s">
        <v>2059</v>
      </c>
      <c r="B2093" s="1" t="str">
        <f>"20055257"</f>
        <v>20055257</v>
      </c>
      <c r="C2093" t="s">
        <v>209</v>
      </c>
      <c r="D2093" t="s">
        <v>2116</v>
      </c>
      <c r="E2093" s="2"/>
      <c r="F2093" t="s">
        <v>22</v>
      </c>
      <c r="G2093" t="s">
        <v>322</v>
      </c>
      <c r="H2093" t="s">
        <v>80</v>
      </c>
      <c r="I2093"/>
    </row>
    <row r="2094" spans="1:9">
      <c r="A2094" t="s">
        <v>2059</v>
      </c>
      <c r="B2094" s="1" t="str">
        <f>"20834777"</f>
        <v>20834777</v>
      </c>
      <c r="C2094" t="s">
        <v>209</v>
      </c>
      <c r="D2094" t="s">
        <v>2117</v>
      </c>
      <c r="E2094" s="2"/>
      <c r="F2094" t="s">
        <v>22</v>
      </c>
      <c r="G2094" t="s">
        <v>80</v>
      </c>
      <c r="H2094" t="s">
        <v>80</v>
      </c>
      <c r="I2094"/>
    </row>
    <row r="2095" spans="1:9">
      <c r="A2095" t="s">
        <v>2059</v>
      </c>
      <c r="B2095" s="1" t="str">
        <f>"20276898"</f>
        <v>20276898</v>
      </c>
      <c r="C2095" t="s">
        <v>209</v>
      </c>
      <c r="D2095" t="s">
        <v>2094</v>
      </c>
      <c r="E2095" s="2"/>
      <c r="F2095" t="s">
        <v>52</v>
      </c>
      <c r="G2095" t="s">
        <v>13</v>
      </c>
      <c r="H2095" t="s">
        <v>13</v>
      </c>
      <c r="I2095"/>
    </row>
    <row r="2096" spans="1:9">
      <c r="A2096" t="s">
        <v>2059</v>
      </c>
      <c r="B2096" s="1" t="str">
        <f>"20834760"</f>
        <v>20834760</v>
      </c>
      <c r="C2096" t="s">
        <v>209</v>
      </c>
      <c r="D2096" t="s">
        <v>2094</v>
      </c>
      <c r="E2096" s="2"/>
      <c r="F2096" t="s">
        <v>22</v>
      </c>
      <c r="G2096" t="s">
        <v>82</v>
      </c>
      <c r="H2096" t="s">
        <v>82</v>
      </c>
      <c r="I2096"/>
    </row>
    <row r="2097" spans="1:9">
      <c r="A2097" t="s">
        <v>2059</v>
      </c>
      <c r="B2097" s="1" t="str">
        <f>"20190015"</f>
        <v>20190015</v>
      </c>
      <c r="C2097" t="s">
        <v>209</v>
      </c>
      <c r="D2097" t="s">
        <v>2118</v>
      </c>
      <c r="E2097" s="2"/>
      <c r="F2097" t="s">
        <v>22</v>
      </c>
      <c r="G2097" t="s">
        <v>13</v>
      </c>
      <c r="H2097" t="s">
        <v>13</v>
      </c>
      <c r="I2097"/>
    </row>
    <row r="2098" spans="1:9">
      <c r="A2098" t="s">
        <v>2059</v>
      </c>
      <c r="B2098" s="1" t="str">
        <f>"20771812"</f>
        <v>20771812</v>
      </c>
      <c r="C2098" t="s">
        <v>209</v>
      </c>
      <c r="D2098" t="s">
        <v>2119</v>
      </c>
      <c r="E2098" s="2"/>
      <c r="F2098" t="s">
        <v>22</v>
      </c>
      <c r="G2098" t="s">
        <v>571</v>
      </c>
      <c r="H2098" t="s">
        <v>571</v>
      </c>
      <c r="I2098"/>
    </row>
    <row r="2099" spans="1:9">
      <c r="A2099" t="s">
        <v>2059</v>
      </c>
      <c r="B2099" s="1" t="str">
        <f>"20771799"</f>
        <v>20771799</v>
      </c>
      <c r="C2099" t="s">
        <v>209</v>
      </c>
      <c r="D2099" t="s">
        <v>2120</v>
      </c>
      <c r="E2099" s="2"/>
      <c r="F2099" t="s">
        <v>22</v>
      </c>
      <c r="G2099" t="s">
        <v>533</v>
      </c>
      <c r="H2099" t="s">
        <v>533</v>
      </c>
      <c r="I2099"/>
    </row>
    <row r="2100" spans="1:9">
      <c r="A2100" t="s">
        <v>2059</v>
      </c>
      <c r="B2100" s="1" t="str">
        <f>"20520687"</f>
        <v>20520687</v>
      </c>
      <c r="C2100" t="s">
        <v>209</v>
      </c>
      <c r="D2100" t="s">
        <v>2121</v>
      </c>
      <c r="E2100" s="2"/>
      <c r="F2100" t="s">
        <v>22</v>
      </c>
      <c r="G2100" t="s">
        <v>80</v>
      </c>
      <c r="H2100" t="s">
        <v>80</v>
      </c>
      <c r="I2100"/>
    </row>
    <row r="2101" spans="1:9">
      <c r="A2101" t="s">
        <v>2059</v>
      </c>
      <c r="B2101" s="1" t="str">
        <f>"20092955"</f>
        <v>20092955</v>
      </c>
      <c r="C2101" t="s">
        <v>2122</v>
      </c>
      <c r="D2101" t="s">
        <v>2123</v>
      </c>
      <c r="E2101" s="2"/>
      <c r="F2101" t="s">
        <v>22</v>
      </c>
      <c r="G2101" t="s">
        <v>82</v>
      </c>
      <c r="H2101" t="s">
        <v>82</v>
      </c>
      <c r="I2101"/>
    </row>
    <row r="2102" spans="1:9">
      <c r="A2102" t="s">
        <v>2059</v>
      </c>
      <c r="B2102" s="1" t="str">
        <f>"24214085"</f>
        <v>24214085</v>
      </c>
      <c r="C2102" t="s">
        <v>2122</v>
      </c>
      <c r="D2102" t="s">
        <v>2124</v>
      </c>
      <c r="E2102" s="2"/>
      <c r="F2102" t="s">
        <v>22</v>
      </c>
      <c r="G2102" t="s">
        <v>13</v>
      </c>
      <c r="H2102" t="s">
        <v>13</v>
      </c>
      <c r="I2102"/>
    </row>
    <row r="2103" spans="1:9">
      <c r="A2103" t="s">
        <v>2059</v>
      </c>
      <c r="B2103" s="1" t="str">
        <f>"20147204"</f>
        <v>20147204</v>
      </c>
      <c r="C2103" t="s">
        <v>225</v>
      </c>
      <c r="D2103" t="s">
        <v>2125</v>
      </c>
      <c r="E2103" s="2"/>
      <c r="F2103" t="s">
        <v>22</v>
      </c>
      <c r="G2103" t="s">
        <v>177</v>
      </c>
      <c r="H2103" t="s">
        <v>177</v>
      </c>
      <c r="I2103"/>
    </row>
    <row r="2104" spans="1:9">
      <c r="A2104" t="s">
        <v>2059</v>
      </c>
      <c r="B2104" s="1" t="str">
        <f>"20146924"</f>
        <v>20146924</v>
      </c>
      <c r="C2104" t="s">
        <v>225</v>
      </c>
      <c r="D2104" t="s">
        <v>2094</v>
      </c>
      <c r="E2104" s="2"/>
      <c r="F2104" t="s">
        <v>22</v>
      </c>
      <c r="G2104" t="s">
        <v>177</v>
      </c>
      <c r="H2104" t="s">
        <v>177</v>
      </c>
      <c r="I2104"/>
    </row>
    <row r="2105" spans="1:9">
      <c r="A2105" t="s">
        <v>2059</v>
      </c>
      <c r="B2105" s="1" t="str">
        <f>"20279240"</f>
        <v>20279240</v>
      </c>
      <c r="C2105" t="s">
        <v>225</v>
      </c>
      <c r="D2105" t="s">
        <v>2126</v>
      </c>
      <c r="E2105" s="2"/>
      <c r="F2105" t="s">
        <v>22</v>
      </c>
      <c r="G2105" t="s">
        <v>82</v>
      </c>
      <c r="H2105" t="s">
        <v>82</v>
      </c>
      <c r="I2105"/>
    </row>
    <row r="2106" spans="1:9">
      <c r="A2106" t="s">
        <v>2059</v>
      </c>
      <c r="B2106" s="1" t="str">
        <f>"20146917"</f>
        <v>20146917</v>
      </c>
      <c r="C2106" t="s">
        <v>225</v>
      </c>
      <c r="D2106" t="s">
        <v>2095</v>
      </c>
      <c r="E2106" s="2"/>
      <c r="F2106" t="s">
        <v>22</v>
      </c>
      <c r="G2106" t="s">
        <v>516</v>
      </c>
      <c r="H2106" t="s">
        <v>516</v>
      </c>
      <c r="I2106"/>
    </row>
    <row r="2107" spans="1:9">
      <c r="A2107" t="s">
        <v>2127</v>
      </c>
      <c r="B2107" s="1" t="str">
        <f>"20718196"</f>
        <v>20718196</v>
      </c>
      <c r="C2107" t="s">
        <v>275</v>
      </c>
      <c r="D2107" t="s">
        <v>144</v>
      </c>
      <c r="E2107" s="2"/>
      <c r="F2107" t="s">
        <v>31</v>
      </c>
      <c r="G2107" t="s">
        <v>232</v>
      </c>
      <c r="H2107" t="s">
        <v>232</v>
      </c>
      <c r="I2107"/>
    </row>
    <row r="2108" spans="1:9">
      <c r="A2108" t="s">
        <v>2127</v>
      </c>
      <c r="B2108" s="1" t="str">
        <f>"20241209"</f>
        <v>20241209</v>
      </c>
      <c r="C2108" t="s">
        <v>275</v>
      </c>
      <c r="D2108" t="s">
        <v>2128</v>
      </c>
      <c r="E2108" s="2"/>
      <c r="F2108" t="s">
        <v>31</v>
      </c>
      <c r="G2108" t="s">
        <v>232</v>
      </c>
      <c r="H2108" t="s">
        <v>232</v>
      </c>
      <c r="I2108"/>
    </row>
    <row r="2109" spans="1:9">
      <c r="A2109" t="s">
        <v>2127</v>
      </c>
      <c r="B2109" s="1" t="str">
        <f>"20190004"</f>
        <v>20190004</v>
      </c>
      <c r="C2109" t="s">
        <v>275</v>
      </c>
      <c r="D2109" t="s">
        <v>2129</v>
      </c>
      <c r="E2109" s="2"/>
      <c r="F2109" t="s">
        <v>2130</v>
      </c>
      <c r="G2109" t="s">
        <v>1312</v>
      </c>
      <c r="H2109" t="s">
        <v>1312</v>
      </c>
      <c r="I2109"/>
    </row>
    <row r="2110" spans="1:9">
      <c r="A2110" t="s">
        <v>2127</v>
      </c>
      <c r="B2110" s="1" t="str">
        <f>"20190003"</f>
        <v>20190003</v>
      </c>
      <c r="C2110" t="s">
        <v>275</v>
      </c>
      <c r="D2110" t="s">
        <v>2131</v>
      </c>
      <c r="E2110" s="2"/>
      <c r="F2110" t="s">
        <v>646</v>
      </c>
      <c r="G2110" t="s">
        <v>322</v>
      </c>
      <c r="H2110" t="s">
        <v>322</v>
      </c>
      <c r="I2110"/>
    </row>
    <row r="2111" spans="1:9">
      <c r="A2111" t="s">
        <v>2127</v>
      </c>
      <c r="B2111" s="1" t="str">
        <f>"24624057"</f>
        <v>24624057</v>
      </c>
      <c r="C2111" t="s">
        <v>209</v>
      </c>
      <c r="D2111" t="s">
        <v>64</v>
      </c>
      <c r="E2111" s="2"/>
      <c r="F2111" t="s">
        <v>22</v>
      </c>
      <c r="G2111" t="s">
        <v>82</v>
      </c>
      <c r="H2111" t="s">
        <v>82</v>
      </c>
      <c r="I2111"/>
    </row>
    <row r="2112" spans="1:9">
      <c r="A2112" t="s">
        <v>2127</v>
      </c>
      <c r="B2112" s="1" t="str">
        <f>"20089665"</f>
        <v>20089665</v>
      </c>
      <c r="C2112" t="s">
        <v>209</v>
      </c>
      <c r="D2112" t="s">
        <v>2132</v>
      </c>
      <c r="E2112" s="2"/>
      <c r="F2112" t="s">
        <v>22</v>
      </c>
      <c r="G2112" t="s">
        <v>322</v>
      </c>
      <c r="H2112" t="s">
        <v>322</v>
      </c>
      <c r="I2112"/>
    </row>
    <row r="2113" spans="1:9">
      <c r="A2113" t="s">
        <v>2127</v>
      </c>
      <c r="B2113" s="1" t="str">
        <f>"24208646"</f>
        <v>24208646</v>
      </c>
      <c r="C2113" t="s">
        <v>225</v>
      </c>
      <c r="D2113" t="s">
        <v>2133</v>
      </c>
      <c r="E2113" s="2"/>
      <c r="F2113" t="s">
        <v>22</v>
      </c>
      <c r="G2113" t="s">
        <v>232</v>
      </c>
      <c r="H2113" t="s">
        <v>232</v>
      </c>
      <c r="I2113"/>
    </row>
    <row r="2114" spans="1:9">
      <c r="A2114" t="s">
        <v>2127</v>
      </c>
      <c r="B2114" s="1" t="str">
        <f>"27850006"</f>
        <v>27850006</v>
      </c>
      <c r="C2114" t="s">
        <v>225</v>
      </c>
      <c r="D2114" t="s">
        <v>144</v>
      </c>
      <c r="E2114" s="2"/>
      <c r="F2114" t="s">
        <v>22</v>
      </c>
      <c r="G2114" t="s">
        <v>322</v>
      </c>
      <c r="H2114" t="s">
        <v>322</v>
      </c>
      <c r="I2114"/>
    </row>
    <row r="2115" spans="1:9">
      <c r="A2115" t="s">
        <v>2127</v>
      </c>
      <c r="B2115" s="1" t="str">
        <f>"24208844"</f>
        <v>24208844</v>
      </c>
      <c r="C2115" t="s">
        <v>225</v>
      </c>
      <c r="D2115" t="s">
        <v>2134</v>
      </c>
      <c r="E2115" s="2"/>
      <c r="F2115" t="s">
        <v>52</v>
      </c>
      <c r="G2115" t="s">
        <v>82</v>
      </c>
      <c r="H2115" t="s">
        <v>82</v>
      </c>
      <c r="I2115"/>
    </row>
    <row r="2116" spans="1:9">
      <c r="A2116" t="s">
        <v>2127</v>
      </c>
      <c r="B2116" s="1" t="str">
        <f>"12165570"</f>
        <v>12165570</v>
      </c>
      <c r="C2116" t="s">
        <v>948</v>
      </c>
      <c r="D2116" t="s">
        <v>2135</v>
      </c>
      <c r="E2116" s="2"/>
      <c r="F2116" t="s">
        <v>1007</v>
      </c>
      <c r="G2116" t="s">
        <v>517</v>
      </c>
      <c r="H2116" t="s">
        <v>517</v>
      </c>
      <c r="I2116"/>
    </row>
    <row r="2117" spans="1:9">
      <c r="A2117" t="s">
        <v>2127</v>
      </c>
      <c r="B2117" s="1" t="str">
        <f>"12165574"</f>
        <v>12165574</v>
      </c>
      <c r="C2117" t="s">
        <v>948</v>
      </c>
      <c r="D2117" t="s">
        <v>2136</v>
      </c>
      <c r="E2117" s="2"/>
      <c r="F2117" t="s">
        <v>2137</v>
      </c>
      <c r="G2117" t="s">
        <v>997</v>
      </c>
      <c r="H2117" t="s">
        <v>517</v>
      </c>
      <c r="I2117"/>
    </row>
    <row r="2118" spans="1:9">
      <c r="A2118" t="s">
        <v>2127</v>
      </c>
      <c r="B2118" s="1" t="str">
        <f>"12165573"</f>
        <v>12165573</v>
      </c>
      <c r="C2118" t="s">
        <v>948</v>
      </c>
      <c r="D2118" t="s">
        <v>2138</v>
      </c>
      <c r="E2118" s="2"/>
      <c r="F2118" t="s">
        <v>978</v>
      </c>
      <c r="G2118" t="s">
        <v>517</v>
      </c>
      <c r="H2118" t="s">
        <v>517</v>
      </c>
      <c r="I2118"/>
    </row>
    <row r="2119" spans="1:9">
      <c r="A2119" t="s">
        <v>2127</v>
      </c>
      <c r="B2119" s="1" t="str">
        <f>"12165571"</f>
        <v>12165571</v>
      </c>
      <c r="C2119" t="s">
        <v>948</v>
      </c>
      <c r="D2119" t="s">
        <v>2139</v>
      </c>
      <c r="E2119" s="2"/>
      <c r="F2119" t="s">
        <v>52</v>
      </c>
      <c r="G2119" t="s">
        <v>571</v>
      </c>
      <c r="H2119" t="s">
        <v>517</v>
      </c>
      <c r="I2119"/>
    </row>
    <row r="2120" spans="1:9">
      <c r="A2120" t="s">
        <v>2127</v>
      </c>
      <c r="B2120" s="1" t="str">
        <f>"20830793"</f>
        <v>20830793</v>
      </c>
      <c r="C2120" t="s">
        <v>2140</v>
      </c>
      <c r="D2120" t="s">
        <v>2141</v>
      </c>
      <c r="E2120" s="2"/>
      <c r="F2120" t="s">
        <v>22</v>
      </c>
      <c r="G2120" t="s">
        <v>322</v>
      </c>
      <c r="H2120" t="s">
        <v>322</v>
      </c>
      <c r="I2120"/>
    </row>
    <row r="2121" spans="1:9">
      <c r="A2121" t="s">
        <v>2127</v>
      </c>
      <c r="B2121" s="1" t="str">
        <f>"20830793.2"</f>
        <v>20830793.2</v>
      </c>
      <c r="C2121" t="s">
        <v>2140</v>
      </c>
      <c r="D2121" t="s">
        <v>2141</v>
      </c>
      <c r="E2121" s="2"/>
      <c r="F2121" t="s">
        <v>22</v>
      </c>
      <c r="G2121" t="s">
        <v>322</v>
      </c>
      <c r="H2121" t="s">
        <v>218</v>
      </c>
      <c r="I2121"/>
    </row>
    <row r="2122" spans="1:9">
      <c r="A2122" t="s">
        <v>2127</v>
      </c>
      <c r="B2122" s="1" t="str">
        <f>"20615567"</f>
        <v>20615567</v>
      </c>
      <c r="C2122" t="s">
        <v>2140</v>
      </c>
      <c r="D2122" t="s">
        <v>2142</v>
      </c>
      <c r="E2122" s="2"/>
      <c r="F2122" t="s">
        <v>22</v>
      </c>
      <c r="G2122" t="s">
        <v>322</v>
      </c>
      <c r="H2122" t="s">
        <v>322</v>
      </c>
      <c r="I2122"/>
    </row>
    <row r="2123" spans="1:9">
      <c r="A2123" t="s">
        <v>2127</v>
      </c>
      <c r="B2123" s="1" t="str">
        <f>"20615567.2"</f>
        <v>20615567.2</v>
      </c>
      <c r="C2123" t="s">
        <v>2140</v>
      </c>
      <c r="D2123" t="s">
        <v>2142</v>
      </c>
      <c r="E2123" s="2"/>
      <c r="F2123" t="s">
        <v>22</v>
      </c>
      <c r="G2123" t="s">
        <v>322</v>
      </c>
      <c r="H2123" t="s">
        <v>218</v>
      </c>
      <c r="I2123"/>
    </row>
    <row r="2124" spans="1:9">
      <c r="A2124" t="s">
        <v>2127</v>
      </c>
      <c r="B2124" s="1" t="str">
        <f>"20514693"</f>
        <v>20514693</v>
      </c>
      <c r="C2124" t="s">
        <v>2140</v>
      </c>
      <c r="D2124" t="s">
        <v>2143</v>
      </c>
      <c r="E2124" s="2"/>
      <c r="F2124" t="s">
        <v>2144</v>
      </c>
      <c r="G2124" t="s">
        <v>82</v>
      </c>
      <c r="H2124" t="s">
        <v>322</v>
      </c>
      <c r="I2124"/>
    </row>
    <row r="2125" spans="1:9">
      <c r="A2125" t="s">
        <v>2127</v>
      </c>
      <c r="B2125" s="1" t="str">
        <f>"20514631"</f>
        <v>20514631</v>
      </c>
      <c r="C2125" t="s">
        <v>2140</v>
      </c>
      <c r="D2125" t="s">
        <v>2145</v>
      </c>
      <c r="E2125" s="2"/>
      <c r="F2125" t="s">
        <v>52</v>
      </c>
      <c r="G2125" t="s">
        <v>82</v>
      </c>
      <c r="H2125" t="s">
        <v>82</v>
      </c>
      <c r="I2125"/>
    </row>
    <row r="2126" spans="1:9">
      <c r="A2126" t="s">
        <v>2127</v>
      </c>
      <c r="B2126" s="1" t="str">
        <f>"20514631.2"</f>
        <v>20514631.2</v>
      </c>
      <c r="C2126" t="s">
        <v>2140</v>
      </c>
      <c r="D2126" t="s">
        <v>2145</v>
      </c>
      <c r="E2126" s="2"/>
      <c r="F2126" t="s">
        <v>52</v>
      </c>
      <c r="G2126" t="s">
        <v>82</v>
      </c>
      <c r="H2126" t="s">
        <v>218</v>
      </c>
      <c r="I2126"/>
    </row>
    <row r="2127" spans="1:9">
      <c r="A2127" t="s">
        <v>2127</v>
      </c>
      <c r="B2127" s="1" t="str">
        <f>"20515560"</f>
        <v>20515560</v>
      </c>
      <c r="C2127" t="s">
        <v>2140</v>
      </c>
      <c r="D2127" t="s">
        <v>2145</v>
      </c>
      <c r="E2127" s="2"/>
      <c r="F2127" t="s">
        <v>22</v>
      </c>
      <c r="G2127" t="s">
        <v>322</v>
      </c>
      <c r="H2127" t="s">
        <v>322</v>
      </c>
      <c r="I2127"/>
    </row>
    <row r="2128" spans="1:9">
      <c r="A2128" t="s">
        <v>2127</v>
      </c>
      <c r="B2128" s="1" t="str">
        <f>"20515560.2"</f>
        <v>20515560.2</v>
      </c>
      <c r="C2128" t="s">
        <v>2140</v>
      </c>
      <c r="D2128" t="s">
        <v>2145</v>
      </c>
      <c r="E2128" s="2"/>
      <c r="F2128" t="s">
        <v>22</v>
      </c>
      <c r="G2128" t="s">
        <v>322</v>
      </c>
      <c r="H2128" t="s">
        <v>218</v>
      </c>
      <c r="I2128"/>
    </row>
    <row r="2129" spans="1:9">
      <c r="A2129" t="s">
        <v>2127</v>
      </c>
      <c r="B2129" s="1" t="str">
        <f>"20514747"</f>
        <v>20514747</v>
      </c>
      <c r="C2129" t="s">
        <v>2140</v>
      </c>
      <c r="D2129" t="s">
        <v>144</v>
      </c>
      <c r="E2129" s="2"/>
      <c r="F2129" t="s">
        <v>428</v>
      </c>
      <c r="G2129" t="s">
        <v>82</v>
      </c>
      <c r="H2129" t="s">
        <v>82</v>
      </c>
      <c r="I2129"/>
    </row>
    <row r="2130" spans="1:9">
      <c r="A2130" t="s">
        <v>2127</v>
      </c>
      <c r="B2130" s="1" t="str">
        <f>"20509798"</f>
        <v>20509798</v>
      </c>
      <c r="C2130" t="s">
        <v>2140</v>
      </c>
      <c r="D2130" t="s">
        <v>2146</v>
      </c>
      <c r="E2130" s="2"/>
      <c r="F2130" t="s">
        <v>22</v>
      </c>
      <c r="G2130" t="s">
        <v>598</v>
      </c>
      <c r="H2130" t="s">
        <v>598</v>
      </c>
      <c r="I2130"/>
    </row>
    <row r="2131" spans="1:9">
      <c r="A2131" t="s">
        <v>2127</v>
      </c>
      <c r="B2131" s="1" t="str">
        <f>"20509798.2"</f>
        <v>20509798.2</v>
      </c>
      <c r="C2131" t="s">
        <v>2140</v>
      </c>
      <c r="D2131" t="s">
        <v>2146</v>
      </c>
      <c r="E2131" s="2"/>
      <c r="F2131" t="s">
        <v>22</v>
      </c>
      <c r="G2131" t="s">
        <v>598</v>
      </c>
      <c r="H2131" t="s">
        <v>517</v>
      </c>
      <c r="I2131"/>
    </row>
    <row r="2132" spans="1:9">
      <c r="A2132" t="s">
        <v>2127</v>
      </c>
      <c r="B2132" s="1" t="str">
        <f>"20830168"</f>
        <v>20830168</v>
      </c>
      <c r="C2132" t="s">
        <v>2140</v>
      </c>
      <c r="D2132" t="s">
        <v>2147</v>
      </c>
      <c r="E2132" s="2"/>
      <c r="F2132" t="s">
        <v>22</v>
      </c>
      <c r="G2132" t="s">
        <v>322</v>
      </c>
      <c r="H2132" t="s">
        <v>322</v>
      </c>
      <c r="I2132"/>
    </row>
    <row r="2133" spans="1:9">
      <c r="A2133" t="s">
        <v>2127</v>
      </c>
      <c r="B2133" s="1" t="str">
        <f>"20830168.2"</f>
        <v>20830168.2</v>
      </c>
      <c r="C2133" t="s">
        <v>2140</v>
      </c>
      <c r="D2133" t="s">
        <v>2147</v>
      </c>
      <c r="E2133" s="2"/>
      <c r="F2133" t="s">
        <v>22</v>
      </c>
      <c r="G2133" t="s">
        <v>322</v>
      </c>
      <c r="H2133" t="s">
        <v>218</v>
      </c>
      <c r="I2133"/>
    </row>
    <row r="2134" spans="1:9">
      <c r="A2134" t="s">
        <v>2127</v>
      </c>
      <c r="B2134" s="1" t="str">
        <f>"20101749"</f>
        <v>20101749</v>
      </c>
      <c r="C2134" t="s">
        <v>2148</v>
      </c>
      <c r="D2134" t="s">
        <v>2149</v>
      </c>
      <c r="E2134" s="2"/>
      <c r="F2134" t="s">
        <v>22</v>
      </c>
      <c r="G2134" t="s">
        <v>322</v>
      </c>
      <c r="H2134" t="s">
        <v>322</v>
      </c>
      <c r="I2134"/>
    </row>
    <row r="2135" spans="1:9">
      <c r="A2135" t="s">
        <v>2127</v>
      </c>
      <c r="B2135" s="1" t="str">
        <f>"20101749.2"</f>
        <v>20101749.2</v>
      </c>
      <c r="C2135" t="s">
        <v>2148</v>
      </c>
      <c r="D2135" t="s">
        <v>2149</v>
      </c>
      <c r="E2135" s="2"/>
      <c r="F2135" t="s">
        <v>22</v>
      </c>
      <c r="G2135" t="s">
        <v>322</v>
      </c>
      <c r="H2135" t="s">
        <v>218</v>
      </c>
      <c r="I2135"/>
    </row>
    <row r="2136" spans="1:9">
      <c r="A2136" t="s">
        <v>2127</v>
      </c>
      <c r="B2136" s="1" t="str">
        <f>"20101732"</f>
        <v>20101732</v>
      </c>
      <c r="C2136" t="s">
        <v>2148</v>
      </c>
      <c r="D2136" t="s">
        <v>2150</v>
      </c>
      <c r="E2136" s="2"/>
      <c r="F2136" t="s">
        <v>22</v>
      </c>
      <c r="G2136" t="s">
        <v>322</v>
      </c>
      <c r="H2136" t="s">
        <v>322</v>
      </c>
      <c r="I2136"/>
    </row>
    <row r="2137" spans="1:9">
      <c r="A2137" t="s">
        <v>2127</v>
      </c>
      <c r="B2137" s="1" t="str">
        <f>"20101732.2"</f>
        <v>20101732.2</v>
      </c>
      <c r="C2137" t="s">
        <v>2148</v>
      </c>
      <c r="D2137" t="s">
        <v>2150</v>
      </c>
      <c r="E2137" s="2"/>
      <c r="F2137" t="s">
        <v>22</v>
      </c>
      <c r="G2137" t="s">
        <v>322</v>
      </c>
      <c r="H2137" t="s">
        <v>218</v>
      </c>
      <c r="I2137"/>
    </row>
    <row r="2138" spans="1:9">
      <c r="A2138" t="s">
        <v>2127</v>
      </c>
      <c r="B2138" s="1" t="str">
        <f>"20261320"</f>
        <v>20261320</v>
      </c>
      <c r="C2138" t="s">
        <v>2148</v>
      </c>
      <c r="D2138" t="s">
        <v>2151</v>
      </c>
      <c r="E2138" s="2"/>
      <c r="F2138" t="s">
        <v>22</v>
      </c>
      <c r="G2138" t="s">
        <v>58</v>
      </c>
      <c r="H2138" t="s">
        <v>232</v>
      </c>
      <c r="I2138"/>
    </row>
    <row r="2139" spans="1:9">
      <c r="A2139" t="s">
        <v>2127</v>
      </c>
      <c r="B2139" s="1" t="str">
        <f>"20830151"</f>
        <v>20830151</v>
      </c>
      <c r="C2139" t="s">
        <v>2148</v>
      </c>
      <c r="D2139" t="s">
        <v>2152</v>
      </c>
      <c r="E2139" s="2"/>
      <c r="F2139" t="s">
        <v>22</v>
      </c>
      <c r="G2139" t="s">
        <v>58</v>
      </c>
      <c r="H2139" t="s">
        <v>232</v>
      </c>
      <c r="I2139"/>
    </row>
    <row r="2140" spans="1:9">
      <c r="A2140" t="s">
        <v>2127</v>
      </c>
      <c r="B2140" s="1" t="str">
        <f>"20064853"</f>
        <v>20064853</v>
      </c>
      <c r="C2140" t="s">
        <v>2148</v>
      </c>
      <c r="D2140" t="s">
        <v>2153</v>
      </c>
      <c r="E2140" s="2"/>
      <c r="F2140" t="s">
        <v>22</v>
      </c>
      <c r="G2140" t="s">
        <v>232</v>
      </c>
      <c r="H2140" t="s">
        <v>232</v>
      </c>
      <c r="I2140"/>
    </row>
    <row r="2141" spans="1:9">
      <c r="A2141" t="s">
        <v>2127</v>
      </c>
      <c r="B2141" s="1" t="str">
        <f>"20064853.2"</f>
        <v>20064853.2</v>
      </c>
      <c r="C2141" t="s">
        <v>2148</v>
      </c>
      <c r="D2141" t="s">
        <v>2153</v>
      </c>
      <c r="E2141" s="2"/>
      <c r="F2141" t="s">
        <v>22</v>
      </c>
      <c r="G2141" t="s">
        <v>322</v>
      </c>
      <c r="H2141" t="s">
        <v>218</v>
      </c>
      <c r="I2141"/>
    </row>
    <row r="2142" spans="1:9">
      <c r="A2142" t="s">
        <v>2127</v>
      </c>
      <c r="B2142" s="1" t="str">
        <f>"20016638"</f>
        <v>20016638</v>
      </c>
      <c r="C2142" t="s">
        <v>2154</v>
      </c>
      <c r="D2142" t="s">
        <v>144</v>
      </c>
      <c r="E2142" s="2"/>
      <c r="F2142" t="s">
        <v>31</v>
      </c>
      <c r="G2142" t="s">
        <v>232</v>
      </c>
      <c r="H2142" t="s">
        <v>232</v>
      </c>
      <c r="I2142"/>
    </row>
    <row r="2143" spans="1:9">
      <c r="A2143" t="s">
        <v>2155</v>
      </c>
      <c r="B2143" s="1" t="str">
        <f>"22559973"</f>
        <v>22559973</v>
      </c>
      <c r="C2143" t="s">
        <v>2156</v>
      </c>
      <c r="D2143" t="s">
        <v>2157</v>
      </c>
      <c r="E2143" s="2"/>
      <c r="F2143" t="s">
        <v>22</v>
      </c>
      <c r="G2143" t="s">
        <v>19</v>
      </c>
      <c r="H2143" t="s">
        <v>19</v>
      </c>
      <c r="I2143"/>
    </row>
    <row r="2144" spans="1:9">
      <c r="A2144" t="s">
        <v>2155</v>
      </c>
      <c r="B2144" s="1" t="str">
        <f>"20295432"</f>
        <v>20295432</v>
      </c>
      <c r="C2144" t="s">
        <v>2156</v>
      </c>
      <c r="D2144" t="s">
        <v>2158</v>
      </c>
      <c r="E2144" s="2"/>
      <c r="F2144" t="s">
        <v>52</v>
      </c>
      <c r="G2144" t="s">
        <v>75</v>
      </c>
      <c r="H2144" t="s">
        <v>75</v>
      </c>
      <c r="I2144"/>
    </row>
    <row r="2145" spans="1:9">
      <c r="A2145" t="s">
        <v>2155</v>
      </c>
      <c r="B2145" s="1" t="str">
        <f>"20021846"</f>
        <v>20021846</v>
      </c>
      <c r="C2145" t="s">
        <v>2156</v>
      </c>
      <c r="D2145" t="s">
        <v>2159</v>
      </c>
      <c r="E2145" s="2"/>
      <c r="F2145" t="s">
        <v>52</v>
      </c>
      <c r="G2145" t="s">
        <v>75</v>
      </c>
      <c r="H2145" t="s">
        <v>75</v>
      </c>
      <c r="I2145"/>
    </row>
    <row r="2146" spans="1:9">
      <c r="A2146" t="s">
        <v>2155</v>
      </c>
      <c r="B2146" s="1" t="str">
        <f>"20179571"</f>
        <v>20179571</v>
      </c>
      <c r="C2146" t="s">
        <v>2156</v>
      </c>
      <c r="D2146" t="s">
        <v>2160</v>
      </c>
      <c r="E2146" s="2"/>
      <c r="F2146" t="s">
        <v>22</v>
      </c>
      <c r="G2146" t="s">
        <v>19</v>
      </c>
      <c r="H2146" t="s">
        <v>19</v>
      </c>
      <c r="I2146"/>
    </row>
    <row r="2147" spans="1:9">
      <c r="A2147" t="s">
        <v>2155</v>
      </c>
      <c r="B2147" s="1" t="str">
        <f>"20095512"</f>
        <v>20095512</v>
      </c>
      <c r="C2147" t="s">
        <v>2156</v>
      </c>
      <c r="D2147" t="s">
        <v>2161</v>
      </c>
      <c r="E2147" s="2"/>
      <c r="F2147" t="s">
        <v>52</v>
      </c>
      <c r="G2147" t="s">
        <v>1007</v>
      </c>
      <c r="H2147" t="s">
        <v>1007</v>
      </c>
      <c r="I2147"/>
    </row>
    <row r="2148" spans="1:9">
      <c r="A2148" t="s">
        <v>2155</v>
      </c>
      <c r="B2148" s="1" t="str">
        <f>"20912086"</f>
        <v>20912086</v>
      </c>
      <c r="C2148" t="s">
        <v>2156</v>
      </c>
      <c r="D2148" t="s">
        <v>2162</v>
      </c>
      <c r="E2148" s="2"/>
      <c r="F2148" t="s">
        <v>22</v>
      </c>
      <c r="G2148" t="s">
        <v>19</v>
      </c>
      <c r="H2148" t="s">
        <v>19</v>
      </c>
      <c r="I2148"/>
    </row>
    <row r="2149" spans="1:9">
      <c r="A2149" t="s">
        <v>2155</v>
      </c>
      <c r="B2149" s="1" t="str">
        <f>"20358052"</f>
        <v>20358052</v>
      </c>
      <c r="C2149" t="s">
        <v>2156</v>
      </c>
      <c r="D2149" t="s">
        <v>201</v>
      </c>
      <c r="E2149" s="2"/>
      <c r="F2149" t="s">
        <v>52</v>
      </c>
      <c r="G2149" t="s">
        <v>75</v>
      </c>
      <c r="H2149" t="s">
        <v>75</v>
      </c>
      <c r="I2149"/>
    </row>
    <row r="2150" spans="1:9">
      <c r="A2150" t="s">
        <v>2155</v>
      </c>
      <c r="B2150" s="1" t="str">
        <f>"20044831"</f>
        <v>20044831</v>
      </c>
      <c r="C2150" t="s">
        <v>2156</v>
      </c>
      <c r="D2150" t="s">
        <v>203</v>
      </c>
      <c r="E2150" s="2"/>
      <c r="F2150" t="s">
        <v>52</v>
      </c>
      <c r="G2150" t="s">
        <v>75</v>
      </c>
      <c r="H2150" t="s">
        <v>75</v>
      </c>
      <c r="I2150"/>
    </row>
    <row r="2151" spans="1:9">
      <c r="A2151" t="s">
        <v>2155</v>
      </c>
      <c r="B2151" s="1" t="str">
        <f>"20109295"</f>
        <v>20109295</v>
      </c>
      <c r="C2151" t="s">
        <v>2156</v>
      </c>
      <c r="D2151" t="s">
        <v>204</v>
      </c>
      <c r="E2151" s="2"/>
      <c r="F2151" t="s">
        <v>52</v>
      </c>
      <c r="G2151" t="s">
        <v>75</v>
      </c>
      <c r="H2151" t="s">
        <v>75</v>
      </c>
      <c r="I2151"/>
    </row>
    <row r="2152" spans="1:9">
      <c r="A2152" t="s">
        <v>2155</v>
      </c>
      <c r="B2152" s="1" t="str">
        <f>"20702007"</f>
        <v>20702007</v>
      </c>
      <c r="C2152" t="s">
        <v>207</v>
      </c>
      <c r="D2152" t="s">
        <v>2163</v>
      </c>
      <c r="E2152" s="2"/>
      <c r="F2152" t="s">
        <v>105</v>
      </c>
      <c r="G2152" t="s">
        <v>54</v>
      </c>
      <c r="H2152" t="s">
        <v>54</v>
      </c>
      <c r="I2152"/>
    </row>
    <row r="2153" spans="1:9">
      <c r="A2153" t="s">
        <v>2155</v>
      </c>
      <c r="B2153" s="1" t="str">
        <f>"20078317"</f>
        <v>20078317</v>
      </c>
      <c r="C2153" t="s">
        <v>984</v>
      </c>
      <c r="D2153" t="s">
        <v>2164</v>
      </c>
      <c r="E2153" s="2"/>
      <c r="F2153" t="s">
        <v>90</v>
      </c>
      <c r="G2153" t="s">
        <v>82</v>
      </c>
      <c r="H2153" t="s">
        <v>82</v>
      </c>
      <c r="I2153"/>
    </row>
    <row r="2154" spans="1:9">
      <c r="A2154" t="s">
        <v>2155</v>
      </c>
      <c r="B2154" s="1" t="str">
        <f>"20078324"</f>
        <v>20078324</v>
      </c>
      <c r="C2154" t="s">
        <v>984</v>
      </c>
      <c r="D2154" t="s">
        <v>2165</v>
      </c>
      <c r="E2154" s="2"/>
      <c r="F2154" t="s">
        <v>22</v>
      </c>
      <c r="G2154" t="s">
        <v>13</v>
      </c>
      <c r="H2154" t="s">
        <v>13</v>
      </c>
      <c r="I2154"/>
    </row>
    <row r="2155" spans="1:9">
      <c r="A2155" t="s">
        <v>2155</v>
      </c>
      <c r="B2155" s="1" t="str">
        <f>"24000005"</f>
        <v>24000005</v>
      </c>
      <c r="C2155" t="s">
        <v>984</v>
      </c>
      <c r="D2155" t="s">
        <v>168</v>
      </c>
      <c r="E2155" s="2"/>
      <c r="F2155" t="s">
        <v>52</v>
      </c>
      <c r="G2155" t="s">
        <v>75</v>
      </c>
      <c r="H2155" t="s">
        <v>75</v>
      </c>
      <c r="I2155"/>
    </row>
    <row r="2156" spans="1:9">
      <c r="A2156" t="s">
        <v>2155</v>
      </c>
      <c r="B2156" s="1" t="str">
        <f>"20071622"</f>
        <v>20071622</v>
      </c>
      <c r="C2156" t="s">
        <v>984</v>
      </c>
      <c r="D2156" t="s">
        <v>202</v>
      </c>
      <c r="E2156" s="2"/>
      <c r="F2156" t="s">
        <v>22</v>
      </c>
      <c r="G2156" t="s">
        <v>80</v>
      </c>
      <c r="H2156" t="s">
        <v>80</v>
      </c>
      <c r="I2156"/>
    </row>
    <row r="2157" spans="1:9">
      <c r="A2157" t="s">
        <v>2155</v>
      </c>
      <c r="B2157" s="1" t="str">
        <f>"20071615"</f>
        <v>20071615</v>
      </c>
      <c r="C2157" t="s">
        <v>984</v>
      </c>
      <c r="D2157" t="s">
        <v>2166</v>
      </c>
      <c r="E2157" s="2"/>
      <c r="F2157" t="s">
        <v>52</v>
      </c>
      <c r="G2157" t="s">
        <v>978</v>
      </c>
      <c r="H2157" t="s">
        <v>978</v>
      </c>
      <c r="I2157"/>
    </row>
    <row r="2158" spans="1:9">
      <c r="A2158" t="s">
        <v>2155</v>
      </c>
      <c r="B2158" s="1" t="str">
        <f>"20255107"</f>
        <v>20255107</v>
      </c>
      <c r="C2158" t="s">
        <v>275</v>
      </c>
      <c r="D2158" t="s">
        <v>2167</v>
      </c>
      <c r="E2158" s="2"/>
      <c r="F2158" t="s">
        <v>2168</v>
      </c>
      <c r="G2158" t="s">
        <v>13</v>
      </c>
      <c r="H2158" t="s">
        <v>13</v>
      </c>
      <c r="I2158"/>
    </row>
    <row r="2159" spans="1:9">
      <c r="A2159" t="s">
        <v>2155</v>
      </c>
      <c r="B2159" s="1" t="str">
        <f>"20255091"</f>
        <v>20255091</v>
      </c>
      <c r="C2159" t="s">
        <v>275</v>
      </c>
      <c r="D2159" t="s">
        <v>2169</v>
      </c>
      <c r="E2159" s="2"/>
      <c r="F2159" t="s">
        <v>1134</v>
      </c>
      <c r="G2159" t="s">
        <v>13</v>
      </c>
      <c r="H2159" t="s">
        <v>13</v>
      </c>
      <c r="I2159"/>
    </row>
    <row r="2160" spans="1:9">
      <c r="A2160" t="s">
        <v>2155</v>
      </c>
      <c r="B2160" s="1" t="str">
        <f>"12175791"</f>
        <v>12175791</v>
      </c>
      <c r="C2160" t="s">
        <v>275</v>
      </c>
      <c r="D2160" t="s">
        <v>2170</v>
      </c>
      <c r="E2160" s="2"/>
      <c r="F2160" t="s">
        <v>52</v>
      </c>
      <c r="G2160" t="s">
        <v>82</v>
      </c>
      <c r="H2160" t="s">
        <v>218</v>
      </c>
      <c r="I2160"/>
    </row>
    <row r="2161" spans="1:9">
      <c r="A2161" t="s">
        <v>2155</v>
      </c>
      <c r="B2161" s="1" t="str">
        <f>"20014894"</f>
        <v>20014894</v>
      </c>
      <c r="C2161" t="s">
        <v>275</v>
      </c>
      <c r="D2161" t="s">
        <v>2171</v>
      </c>
      <c r="E2161" s="2"/>
      <c r="F2161" t="s">
        <v>79</v>
      </c>
      <c r="G2161" t="s">
        <v>82</v>
      </c>
      <c r="H2161" t="s">
        <v>82</v>
      </c>
      <c r="I2161"/>
    </row>
    <row r="2162" spans="1:9">
      <c r="A2162" t="s">
        <v>2155</v>
      </c>
      <c r="B2162" s="1" t="str">
        <f>"20014894.2"</f>
        <v>20014894.2</v>
      </c>
      <c r="C2162" t="s">
        <v>275</v>
      </c>
      <c r="D2162" t="s">
        <v>2171</v>
      </c>
      <c r="E2162" s="2"/>
      <c r="F2162" t="s">
        <v>79</v>
      </c>
      <c r="G2162" t="s">
        <v>82</v>
      </c>
      <c r="H2162" t="s">
        <v>218</v>
      </c>
      <c r="I2162"/>
    </row>
    <row r="2163" spans="1:9">
      <c r="A2163" t="s">
        <v>2155</v>
      </c>
      <c r="B2163" s="1" t="str">
        <f>"20080211"</f>
        <v>20080211</v>
      </c>
      <c r="C2163" t="s">
        <v>275</v>
      </c>
      <c r="D2163" t="s">
        <v>2172</v>
      </c>
      <c r="E2163" s="2"/>
      <c r="F2163" t="s">
        <v>2173</v>
      </c>
      <c r="G2163" t="s">
        <v>13</v>
      </c>
      <c r="H2163" t="s">
        <v>13</v>
      </c>
      <c r="I2163"/>
    </row>
    <row r="2164" spans="1:9">
      <c r="A2164" t="s">
        <v>2155</v>
      </c>
      <c r="B2164" s="1" t="str">
        <f>"20017699"</f>
        <v>20017699</v>
      </c>
      <c r="C2164" t="s">
        <v>275</v>
      </c>
      <c r="D2164" t="s">
        <v>2174</v>
      </c>
      <c r="E2164" s="2"/>
      <c r="F2164"/>
      <c r="G2164" t="s">
        <v>1312</v>
      </c>
      <c r="H2164" t="s">
        <v>1312</v>
      </c>
      <c r="I2164"/>
    </row>
    <row r="2165" spans="1:9">
      <c r="A2165" t="s">
        <v>2155</v>
      </c>
      <c r="B2165" s="1" t="str">
        <f>"20016623"</f>
        <v>20016623</v>
      </c>
      <c r="C2165" t="s">
        <v>275</v>
      </c>
      <c r="D2165" t="s">
        <v>2175</v>
      </c>
      <c r="E2165" s="2"/>
      <c r="F2165" t="s">
        <v>2176</v>
      </c>
      <c r="G2165" t="s">
        <v>13</v>
      </c>
      <c r="H2165" t="s">
        <v>13</v>
      </c>
      <c r="I2165"/>
    </row>
    <row r="2166" spans="1:9">
      <c r="A2166" t="s">
        <v>2155</v>
      </c>
      <c r="B2166" s="1" t="str">
        <f>"23893980"</f>
        <v>23893980</v>
      </c>
      <c r="C2166" t="s">
        <v>275</v>
      </c>
      <c r="D2166" t="s">
        <v>2177</v>
      </c>
      <c r="E2166" s="2"/>
      <c r="F2166" t="s">
        <v>2178</v>
      </c>
      <c r="G2166" t="s">
        <v>13</v>
      </c>
      <c r="H2166" t="s">
        <v>13</v>
      </c>
      <c r="I2166"/>
    </row>
    <row r="2167" spans="1:9">
      <c r="A2167" t="s">
        <v>2155</v>
      </c>
      <c r="B2167" s="1" t="str">
        <f>"20082437"</f>
        <v>20082437</v>
      </c>
      <c r="C2167" t="s">
        <v>275</v>
      </c>
      <c r="D2167" t="s">
        <v>2179</v>
      </c>
      <c r="E2167" s="2"/>
      <c r="F2167" t="s">
        <v>643</v>
      </c>
      <c r="G2167" t="s">
        <v>13</v>
      </c>
      <c r="H2167" t="s">
        <v>13</v>
      </c>
      <c r="I2167"/>
    </row>
    <row r="2168" spans="1:9">
      <c r="A2168" t="s">
        <v>2155</v>
      </c>
      <c r="B2168" s="1" t="str">
        <f>"20072216"</f>
        <v>20072216</v>
      </c>
      <c r="C2168" t="s">
        <v>275</v>
      </c>
      <c r="D2168" t="s">
        <v>2180</v>
      </c>
      <c r="E2168" s="2"/>
      <c r="F2168" t="s">
        <v>2181</v>
      </c>
      <c r="G2168" t="s">
        <v>13</v>
      </c>
      <c r="H2168" t="s">
        <v>13</v>
      </c>
      <c r="I2168"/>
    </row>
    <row r="2169" spans="1:9">
      <c r="A2169" t="s">
        <v>2155</v>
      </c>
      <c r="B2169" s="1" t="str">
        <f>"20106294"</f>
        <v>20106294</v>
      </c>
      <c r="C2169" t="s">
        <v>275</v>
      </c>
      <c r="D2169" t="s">
        <v>2182</v>
      </c>
      <c r="E2169" s="2"/>
      <c r="F2169" t="s">
        <v>22</v>
      </c>
      <c r="G2169" t="s">
        <v>13</v>
      </c>
      <c r="H2169" t="s">
        <v>13</v>
      </c>
      <c r="I2169"/>
    </row>
    <row r="2170" spans="1:9">
      <c r="A2170" t="s">
        <v>2155</v>
      </c>
      <c r="B2170" s="1" t="str">
        <f>"20046848"</f>
        <v>20046848</v>
      </c>
      <c r="C2170" t="s">
        <v>209</v>
      </c>
      <c r="D2170" t="s">
        <v>2183</v>
      </c>
      <c r="E2170" s="2"/>
      <c r="F2170" t="s">
        <v>22</v>
      </c>
      <c r="G2170" t="s">
        <v>148</v>
      </c>
      <c r="H2170" t="s">
        <v>13</v>
      </c>
      <c r="I2170"/>
    </row>
    <row r="2171" spans="1:9">
      <c r="A2171" t="s">
        <v>2155</v>
      </c>
      <c r="B2171" s="1" t="str">
        <f>"20044832"</f>
        <v>20044832</v>
      </c>
      <c r="C2171" t="s">
        <v>989</v>
      </c>
      <c r="D2171" t="s">
        <v>203</v>
      </c>
      <c r="E2171" s="2"/>
      <c r="F2171" t="s">
        <v>52</v>
      </c>
      <c r="G2171" t="s">
        <v>82</v>
      </c>
      <c r="H2171" t="s">
        <v>82</v>
      </c>
      <c r="I2171"/>
    </row>
    <row r="2172" spans="1:9">
      <c r="A2172" t="s">
        <v>2155</v>
      </c>
      <c r="B2172" s="1" t="str">
        <f>"20109301"</f>
        <v>20109301</v>
      </c>
      <c r="C2172" t="s">
        <v>2184</v>
      </c>
      <c r="D2172" t="s">
        <v>2185</v>
      </c>
      <c r="E2172" s="2"/>
      <c r="F2172" t="s">
        <v>52</v>
      </c>
      <c r="G2172" t="s">
        <v>978</v>
      </c>
      <c r="H2172" t="s">
        <v>978</v>
      </c>
      <c r="I2172"/>
    </row>
    <row r="2173" spans="1:9">
      <c r="A2173" t="s">
        <v>2155</v>
      </c>
      <c r="B2173" s="1" t="str">
        <f>"20077426"</f>
        <v>20077426</v>
      </c>
      <c r="C2173" t="s">
        <v>2184</v>
      </c>
      <c r="D2173" t="s">
        <v>202</v>
      </c>
      <c r="E2173" s="2"/>
      <c r="F2173" t="s">
        <v>52</v>
      </c>
      <c r="G2173" t="s">
        <v>82</v>
      </c>
      <c r="H2173" t="s">
        <v>82</v>
      </c>
      <c r="I2173"/>
    </row>
    <row r="2174" spans="1:9">
      <c r="A2174" t="s">
        <v>2155</v>
      </c>
      <c r="B2174" s="1" t="str">
        <f>"20119553"</f>
        <v>20119553</v>
      </c>
      <c r="C2174" t="s">
        <v>225</v>
      </c>
      <c r="D2174" t="s">
        <v>2186</v>
      </c>
      <c r="E2174" s="2"/>
      <c r="F2174" t="s">
        <v>52</v>
      </c>
      <c r="G2174" t="s">
        <v>75</v>
      </c>
      <c r="H2174" t="s">
        <v>82</v>
      </c>
      <c r="I2174"/>
    </row>
    <row r="2175" spans="1:9">
      <c r="A2175" t="s">
        <v>2155</v>
      </c>
      <c r="B2175" s="1" t="str">
        <f>"20200909"</f>
        <v>20200909</v>
      </c>
      <c r="C2175" t="s">
        <v>225</v>
      </c>
      <c r="D2175" t="s">
        <v>2187</v>
      </c>
      <c r="E2175" s="2"/>
      <c r="F2175" t="s">
        <v>22</v>
      </c>
      <c r="G2175" t="s">
        <v>243</v>
      </c>
      <c r="H2175" t="s">
        <v>243</v>
      </c>
      <c r="I2175"/>
    </row>
    <row r="2176" spans="1:9">
      <c r="A2176" t="s">
        <v>2155</v>
      </c>
      <c r="B2176" s="1" t="str">
        <f>"23390481"</f>
        <v>23390481</v>
      </c>
      <c r="C2176" t="s">
        <v>225</v>
      </c>
      <c r="D2176" t="s">
        <v>2188</v>
      </c>
      <c r="E2176" s="2"/>
      <c r="F2176" t="s">
        <v>52</v>
      </c>
      <c r="G2176" t="s">
        <v>82</v>
      </c>
      <c r="H2176" t="s">
        <v>82</v>
      </c>
      <c r="I2176"/>
    </row>
    <row r="2177" spans="1:9">
      <c r="A2177" t="s">
        <v>2155</v>
      </c>
      <c r="B2177" s="1" t="str">
        <f>"20049492"</f>
        <v>20049492</v>
      </c>
      <c r="C2177" t="s">
        <v>225</v>
      </c>
      <c r="D2177" t="s">
        <v>2189</v>
      </c>
      <c r="E2177" s="2"/>
      <c r="F2177" t="s">
        <v>105</v>
      </c>
      <c r="G2177" t="s">
        <v>243</v>
      </c>
      <c r="H2177" t="s">
        <v>243</v>
      </c>
      <c r="I2177"/>
    </row>
    <row r="2178" spans="1:9">
      <c r="A2178" t="s">
        <v>2155</v>
      </c>
      <c r="B2178" s="1" t="str">
        <f>"20077440"</f>
        <v>20077440</v>
      </c>
      <c r="C2178" t="s">
        <v>225</v>
      </c>
      <c r="D2178" t="s">
        <v>202</v>
      </c>
      <c r="E2178" s="2"/>
      <c r="F2178" t="s">
        <v>52</v>
      </c>
      <c r="G2178" t="s">
        <v>82</v>
      </c>
      <c r="H2178" t="s">
        <v>82</v>
      </c>
      <c r="I2178"/>
    </row>
    <row r="2179" spans="1:9">
      <c r="A2179" t="s">
        <v>2155</v>
      </c>
      <c r="B2179" s="1" t="str">
        <f>"20129309"</f>
        <v>20129309</v>
      </c>
      <c r="C2179" t="s">
        <v>993</v>
      </c>
      <c r="D2179" t="s">
        <v>2188</v>
      </c>
      <c r="E2179" s="2"/>
      <c r="F2179" t="s">
        <v>105</v>
      </c>
      <c r="G2179" t="s">
        <v>177</v>
      </c>
      <c r="H2179" t="s">
        <v>177</v>
      </c>
      <c r="I2179"/>
    </row>
    <row r="2180" spans="1:9">
      <c r="A2180" t="s">
        <v>2155</v>
      </c>
      <c r="B2180" s="1" t="str">
        <f>"20129347"</f>
        <v>20129347</v>
      </c>
      <c r="C2180" t="s">
        <v>993</v>
      </c>
      <c r="D2180" t="s">
        <v>2188</v>
      </c>
      <c r="E2180" s="2"/>
      <c r="F2180" t="s">
        <v>52</v>
      </c>
      <c r="G2180" t="s">
        <v>82</v>
      </c>
      <c r="H2180" t="s">
        <v>82</v>
      </c>
      <c r="I2180"/>
    </row>
    <row r="2181" spans="1:9">
      <c r="A2181" t="s">
        <v>2155</v>
      </c>
      <c r="B2181" s="1" t="str">
        <f>"20129347.2"</f>
        <v>20129347.2</v>
      </c>
      <c r="C2181" t="s">
        <v>993</v>
      </c>
      <c r="D2181" t="s">
        <v>2188</v>
      </c>
      <c r="E2181" s="2"/>
      <c r="F2181" t="s">
        <v>52</v>
      </c>
      <c r="G2181" t="s">
        <v>82</v>
      </c>
      <c r="H2181" t="s">
        <v>218</v>
      </c>
      <c r="I2181"/>
    </row>
    <row r="2182" spans="1:9">
      <c r="A2182" t="s">
        <v>2155</v>
      </c>
      <c r="B2182" s="1" t="str">
        <f>"20035822"</f>
        <v>20035822</v>
      </c>
      <c r="C2182" t="s">
        <v>1341</v>
      </c>
      <c r="D2182" t="s">
        <v>2190</v>
      </c>
      <c r="E2182" s="2"/>
      <c r="F2182" t="s">
        <v>105</v>
      </c>
      <c r="G2182" t="s">
        <v>232</v>
      </c>
      <c r="H2182" t="s">
        <v>232</v>
      </c>
      <c r="I2182"/>
    </row>
    <row r="2183" spans="1:9">
      <c r="A2183" t="s">
        <v>2155</v>
      </c>
      <c r="B2183" s="1" t="str">
        <f>"20035822.2"</f>
        <v>20035822.2</v>
      </c>
      <c r="C2183" t="s">
        <v>1341</v>
      </c>
      <c r="D2183" t="s">
        <v>2190</v>
      </c>
      <c r="E2183" s="2"/>
      <c r="F2183" t="s">
        <v>105</v>
      </c>
      <c r="G2183" t="s">
        <v>232</v>
      </c>
      <c r="H2183" t="s">
        <v>218</v>
      </c>
      <c r="I2183"/>
    </row>
    <row r="2184" spans="1:9">
      <c r="A2184" t="s">
        <v>2155</v>
      </c>
      <c r="B2184" s="1" t="str">
        <f>"20013578"</f>
        <v>20013578</v>
      </c>
      <c r="C2184" t="s">
        <v>1341</v>
      </c>
      <c r="D2184" t="s">
        <v>2191</v>
      </c>
      <c r="E2184" s="2"/>
      <c r="F2184" t="s">
        <v>90</v>
      </c>
      <c r="G2184" t="s">
        <v>232</v>
      </c>
      <c r="H2184" t="s">
        <v>232</v>
      </c>
      <c r="I2184"/>
    </row>
    <row r="2185" spans="1:9">
      <c r="A2185" t="s">
        <v>2155</v>
      </c>
      <c r="B2185" s="1" t="str">
        <f>"20013578.2"</f>
        <v>20013578.2</v>
      </c>
      <c r="C2185" t="s">
        <v>1341</v>
      </c>
      <c r="D2185" t="s">
        <v>2191</v>
      </c>
      <c r="E2185" s="2"/>
      <c r="F2185" t="s">
        <v>90</v>
      </c>
      <c r="G2185" t="s">
        <v>232</v>
      </c>
      <c r="H2185" t="s">
        <v>218</v>
      </c>
      <c r="I2185"/>
    </row>
    <row r="2186" spans="1:9">
      <c r="A2186" t="s">
        <v>2155</v>
      </c>
      <c r="B2186" s="1" t="str">
        <f>"20013561"</f>
        <v>20013561</v>
      </c>
      <c r="C2186" t="s">
        <v>1341</v>
      </c>
      <c r="D2186" t="s">
        <v>2192</v>
      </c>
      <c r="E2186" s="2"/>
      <c r="F2186" t="s">
        <v>90</v>
      </c>
      <c r="G2186" t="s">
        <v>232</v>
      </c>
      <c r="H2186" t="s">
        <v>232</v>
      </c>
      <c r="I2186"/>
    </row>
    <row r="2187" spans="1:9">
      <c r="A2187" t="s">
        <v>2155</v>
      </c>
      <c r="B2187" s="1" t="str">
        <f>"20013561.2"</f>
        <v>20013561.2</v>
      </c>
      <c r="C2187" t="s">
        <v>1341</v>
      </c>
      <c r="D2187" t="s">
        <v>2192</v>
      </c>
      <c r="E2187" s="2"/>
      <c r="F2187" t="s">
        <v>90</v>
      </c>
      <c r="G2187" t="s">
        <v>232</v>
      </c>
      <c r="H2187" t="s">
        <v>218</v>
      </c>
      <c r="I2187"/>
    </row>
    <row r="2188" spans="1:9">
      <c r="A2188" t="s">
        <v>2155</v>
      </c>
      <c r="B2188" s="1" t="str">
        <f>"20016637"</f>
        <v>20016637</v>
      </c>
      <c r="C2188" t="s">
        <v>2154</v>
      </c>
      <c r="D2188" t="s">
        <v>2193</v>
      </c>
      <c r="E2188" s="2"/>
      <c r="F2188" t="s">
        <v>79</v>
      </c>
      <c r="G2188" t="s">
        <v>80</v>
      </c>
      <c r="H2188" t="s">
        <v>80</v>
      </c>
      <c r="I2188"/>
    </row>
    <row r="2189" spans="1:9">
      <c r="A2189" t="s">
        <v>2155</v>
      </c>
      <c r="B2189" s="1" t="str">
        <f>"20016633"</f>
        <v>20016633</v>
      </c>
      <c r="C2189" t="s">
        <v>2154</v>
      </c>
      <c r="D2189" t="s">
        <v>2194</v>
      </c>
      <c r="E2189" s="2"/>
      <c r="F2189" t="s">
        <v>68</v>
      </c>
      <c r="G2189" t="s">
        <v>80</v>
      </c>
      <c r="H2189" t="s">
        <v>80</v>
      </c>
      <c r="I2189"/>
    </row>
    <row r="2190" spans="1:9">
      <c r="A2190" t="s">
        <v>2155</v>
      </c>
      <c r="B2190" s="1" t="str">
        <f>"20016634"</f>
        <v>20016634</v>
      </c>
      <c r="C2190" t="s">
        <v>2154</v>
      </c>
      <c r="D2190" t="s">
        <v>2195</v>
      </c>
      <c r="E2190" s="2"/>
      <c r="F2190" t="s">
        <v>50</v>
      </c>
      <c r="G2190" t="s">
        <v>19</v>
      </c>
      <c r="H2190" t="s">
        <v>19</v>
      </c>
      <c r="I2190"/>
    </row>
    <row r="2191" spans="1:9">
      <c r="A2191" t="s">
        <v>2155</v>
      </c>
      <c r="B2191" s="1" t="str">
        <f>"20016629"</f>
        <v>20016629</v>
      </c>
      <c r="C2191" t="s">
        <v>2154</v>
      </c>
      <c r="D2191" t="s">
        <v>2196</v>
      </c>
      <c r="E2191" s="2"/>
      <c r="F2191" t="s">
        <v>2197</v>
      </c>
      <c r="G2191" t="s">
        <v>19</v>
      </c>
      <c r="H2191" t="s">
        <v>19</v>
      </c>
      <c r="I2191"/>
    </row>
    <row r="2192" spans="1:9">
      <c r="A2192" t="s">
        <v>2155</v>
      </c>
      <c r="B2192" s="1" t="str">
        <f>"20016627"</f>
        <v>20016627</v>
      </c>
      <c r="C2192" t="s">
        <v>2154</v>
      </c>
      <c r="D2192" t="s">
        <v>2198</v>
      </c>
      <c r="E2192" s="2"/>
      <c r="F2192" t="s">
        <v>2199</v>
      </c>
      <c r="G2192" t="s">
        <v>19</v>
      </c>
      <c r="H2192" t="s">
        <v>19</v>
      </c>
      <c r="I2192"/>
    </row>
    <row r="2193" spans="1:9">
      <c r="A2193" t="s">
        <v>2155</v>
      </c>
      <c r="B2193" s="1" t="str">
        <f>"20295433"</f>
        <v>20295433</v>
      </c>
      <c r="C2193" t="s">
        <v>2200</v>
      </c>
      <c r="D2193" t="s">
        <v>2201</v>
      </c>
      <c r="E2193" s="2"/>
      <c r="F2193" t="s">
        <v>22</v>
      </c>
      <c r="G2193" t="s">
        <v>19</v>
      </c>
      <c r="H2193" t="s">
        <v>19</v>
      </c>
      <c r="I2193"/>
    </row>
    <row r="2194" spans="1:9">
      <c r="A2194" t="s">
        <v>2155</v>
      </c>
      <c r="B2194" s="1" t="str">
        <f>"20295431"</f>
        <v>20295431</v>
      </c>
      <c r="C2194" t="s">
        <v>2200</v>
      </c>
      <c r="D2194" t="s">
        <v>2202</v>
      </c>
      <c r="E2194" s="2"/>
      <c r="F2194" t="s">
        <v>52</v>
      </c>
      <c r="G2194" t="s">
        <v>978</v>
      </c>
      <c r="H2194" t="s">
        <v>978</v>
      </c>
      <c r="I2194"/>
    </row>
    <row r="2195" spans="1:9">
      <c r="A2195" t="s">
        <v>2203</v>
      </c>
      <c r="B2195" s="1" t="str">
        <f>"12466684"</f>
        <v>12466684</v>
      </c>
      <c r="C2195" t="s">
        <v>260</v>
      </c>
      <c r="D2195" t="s">
        <v>2204</v>
      </c>
      <c r="E2195" s="2"/>
      <c r="F2195" t="s">
        <v>295</v>
      </c>
      <c r="G2195" t="s">
        <v>287</v>
      </c>
      <c r="H2195" t="s">
        <v>218</v>
      </c>
      <c r="I2195"/>
    </row>
    <row r="2196" spans="1:9">
      <c r="A2196" t="s">
        <v>2203</v>
      </c>
      <c r="B2196" s="1" t="str">
        <f>"12503082"</f>
        <v>12503082</v>
      </c>
      <c r="C2196" t="s">
        <v>260</v>
      </c>
      <c r="D2196" t="s">
        <v>2205</v>
      </c>
      <c r="E2196" s="2"/>
      <c r="F2196" t="s">
        <v>295</v>
      </c>
      <c r="G2196" t="s">
        <v>19</v>
      </c>
      <c r="H2196" t="s">
        <v>218</v>
      </c>
      <c r="I2196"/>
    </row>
    <row r="2197" spans="1:9">
      <c r="A2197" t="s">
        <v>2203</v>
      </c>
      <c r="B2197" s="1" t="str">
        <f>"12793223"</f>
        <v>12793223</v>
      </c>
      <c r="C2197" t="s">
        <v>260</v>
      </c>
      <c r="D2197" t="s">
        <v>2206</v>
      </c>
      <c r="E2197" s="2"/>
      <c r="F2197" t="s">
        <v>2137</v>
      </c>
      <c r="G2197" t="s">
        <v>82</v>
      </c>
      <c r="H2197" t="s">
        <v>218</v>
      </c>
      <c r="I2197"/>
    </row>
    <row r="2198" spans="1:9">
      <c r="A2198" t="s">
        <v>2203</v>
      </c>
      <c r="B2198" s="1" t="str">
        <f>"20186938"</f>
        <v>20186938</v>
      </c>
      <c r="C2198" t="s">
        <v>10</v>
      </c>
      <c r="D2198" t="s">
        <v>2207</v>
      </c>
      <c r="E2198" s="2"/>
      <c r="F2198" t="s">
        <v>1399</v>
      </c>
      <c r="G2198" t="s">
        <v>940</v>
      </c>
      <c r="H2198" t="s">
        <v>940</v>
      </c>
      <c r="I2198"/>
    </row>
    <row r="2199" spans="1:9">
      <c r="A2199" t="s">
        <v>2203</v>
      </c>
      <c r="B2199" s="1" t="str">
        <f>"23552036"</f>
        <v>23552036</v>
      </c>
      <c r="C2199"/>
      <c r="D2199" t="s">
        <v>2208</v>
      </c>
      <c r="E2199" s="2"/>
      <c r="F2199" t="s">
        <v>68</v>
      </c>
      <c r="G2199" t="s">
        <v>688</v>
      </c>
      <c r="H2199" t="s">
        <v>778</v>
      </c>
      <c r="I2199"/>
    </row>
    <row r="2200" spans="1:9">
      <c r="A2200" t="s">
        <v>2203</v>
      </c>
      <c r="B2200" s="1" t="str">
        <f>"26704007"</f>
        <v>26704007</v>
      </c>
      <c r="C2200"/>
      <c r="D2200" t="s">
        <v>2209</v>
      </c>
      <c r="E2200" s="2"/>
      <c r="F2200" t="s">
        <v>68</v>
      </c>
      <c r="G2200" t="s">
        <v>778</v>
      </c>
      <c r="H2200" t="s">
        <v>778</v>
      </c>
      <c r="I2200"/>
    </row>
    <row r="2201" spans="1:9">
      <c r="A2201" t="s">
        <v>2203</v>
      </c>
      <c r="B2201" s="1" t="str">
        <f>"20016821"</f>
        <v>20016821</v>
      </c>
      <c r="C2201" t="s">
        <v>275</v>
      </c>
      <c r="D2201" t="s">
        <v>2210</v>
      </c>
      <c r="E2201" s="2"/>
      <c r="F2201"/>
      <c r="G2201" t="s">
        <v>2211</v>
      </c>
      <c r="H2201" t="s">
        <v>2211</v>
      </c>
      <c r="I2201"/>
    </row>
    <row r="2202" spans="1:9">
      <c r="A2202" t="s">
        <v>2203</v>
      </c>
      <c r="B2202" s="1" t="str">
        <f>"20016821.2"</f>
        <v>20016821.2</v>
      </c>
      <c r="C2202" t="s">
        <v>275</v>
      </c>
      <c r="D2202" t="s">
        <v>2210</v>
      </c>
      <c r="E2202" s="2"/>
      <c r="F2202"/>
      <c r="G2202" t="s">
        <v>2211</v>
      </c>
      <c r="H2202" t="s">
        <v>218</v>
      </c>
      <c r="I2202"/>
    </row>
    <row r="2203" spans="1:9">
      <c r="A2203" t="s">
        <v>2203</v>
      </c>
      <c r="B2203" s="1" t="str">
        <f>"20251772"</f>
        <v>20251772</v>
      </c>
      <c r="C2203" t="s">
        <v>275</v>
      </c>
      <c r="D2203" t="s">
        <v>2212</v>
      </c>
      <c r="E2203" s="2"/>
      <c r="F2203"/>
      <c r="G2203" t="s">
        <v>232</v>
      </c>
      <c r="H2203" t="s">
        <v>232</v>
      </c>
      <c r="I2203"/>
    </row>
    <row r="2204" spans="1:9">
      <c r="A2204" t="s">
        <v>2203</v>
      </c>
      <c r="B2204" s="1" t="str">
        <f>"20251772.2"</f>
        <v>20251772.2</v>
      </c>
      <c r="C2204" t="s">
        <v>275</v>
      </c>
      <c r="D2204" t="s">
        <v>2212</v>
      </c>
      <c r="E2204" s="2"/>
      <c r="F2204"/>
      <c r="G2204" t="s">
        <v>232</v>
      </c>
      <c r="H2204" t="s">
        <v>218</v>
      </c>
      <c r="I2204"/>
    </row>
    <row r="2205" spans="1:9">
      <c r="A2205" t="s">
        <v>2203</v>
      </c>
      <c r="B2205" s="1" t="str">
        <f>"20017873"</f>
        <v>20017873</v>
      </c>
      <c r="C2205" t="s">
        <v>275</v>
      </c>
      <c r="D2205" t="s">
        <v>2213</v>
      </c>
      <c r="E2205" s="2"/>
      <c r="F2205" t="s">
        <v>2214</v>
      </c>
      <c r="G2205" t="s">
        <v>2215</v>
      </c>
      <c r="H2205" t="s">
        <v>2215</v>
      </c>
      <c r="I2205"/>
    </row>
    <row r="2206" spans="1:9">
      <c r="A2206" t="s">
        <v>2203</v>
      </c>
      <c r="B2206" s="1" t="str">
        <f>"20017873.2"</f>
        <v>20017873.2</v>
      </c>
      <c r="C2206" t="s">
        <v>275</v>
      </c>
      <c r="D2206" t="s">
        <v>2213</v>
      </c>
      <c r="E2206" s="2"/>
      <c r="F2206" t="s">
        <v>2214</v>
      </c>
      <c r="G2206" t="s">
        <v>2215</v>
      </c>
      <c r="H2206" t="s">
        <v>218</v>
      </c>
      <c r="I2206"/>
    </row>
    <row r="2207" spans="1:9">
      <c r="A2207" t="s">
        <v>2203</v>
      </c>
      <c r="B2207" s="1" t="str">
        <f>"20059743"</f>
        <v>20059743</v>
      </c>
      <c r="C2207" t="s">
        <v>275</v>
      </c>
      <c r="D2207" t="s">
        <v>2216</v>
      </c>
      <c r="E2207" s="2"/>
      <c r="F2207"/>
      <c r="G2207" t="s">
        <v>536</v>
      </c>
      <c r="H2207" t="s">
        <v>536</v>
      </c>
      <c r="I2207"/>
    </row>
    <row r="2208" spans="1:9">
      <c r="A2208" t="s">
        <v>2203</v>
      </c>
      <c r="B2208" s="1" t="str">
        <f>"20059743.2"</f>
        <v>20059743.2</v>
      </c>
      <c r="C2208" t="s">
        <v>275</v>
      </c>
      <c r="D2208" t="s">
        <v>2216</v>
      </c>
      <c r="E2208" s="2"/>
      <c r="F2208"/>
      <c r="G2208" t="s">
        <v>536</v>
      </c>
      <c r="H2208" t="s">
        <v>218</v>
      </c>
      <c r="I2208"/>
    </row>
    <row r="2209" spans="1:9">
      <c r="A2209" t="s">
        <v>2203</v>
      </c>
      <c r="B2209" s="1" t="str">
        <f>"20251796"</f>
        <v>20251796</v>
      </c>
      <c r="C2209" t="s">
        <v>275</v>
      </c>
      <c r="D2209" t="s">
        <v>2217</v>
      </c>
      <c r="E2209" s="2"/>
      <c r="F2209"/>
      <c r="G2209" t="s">
        <v>232</v>
      </c>
      <c r="H2209" t="s">
        <v>232</v>
      </c>
      <c r="I2209"/>
    </row>
    <row r="2210" spans="1:9">
      <c r="A2210" t="s">
        <v>2203</v>
      </c>
      <c r="B2210" s="1" t="str">
        <f>"20251796.2"</f>
        <v>20251796.2</v>
      </c>
      <c r="C2210" t="s">
        <v>275</v>
      </c>
      <c r="D2210" t="s">
        <v>2217</v>
      </c>
      <c r="E2210" s="2"/>
      <c r="F2210"/>
      <c r="G2210" t="s">
        <v>232</v>
      </c>
      <c r="H2210" t="s">
        <v>218</v>
      </c>
      <c r="I2210"/>
    </row>
    <row r="2211" spans="1:9">
      <c r="A2211" t="s">
        <v>2203</v>
      </c>
      <c r="B2211" s="1" t="str">
        <f>"20835521"</f>
        <v>20835521</v>
      </c>
      <c r="C2211" t="s">
        <v>275</v>
      </c>
      <c r="D2211" t="s">
        <v>2218</v>
      </c>
      <c r="E2211" s="2"/>
      <c r="F2211" t="s">
        <v>2219</v>
      </c>
      <c r="G2211" t="s">
        <v>13</v>
      </c>
      <c r="H2211" t="s">
        <v>13</v>
      </c>
      <c r="I2211"/>
    </row>
    <row r="2212" spans="1:9">
      <c r="A2212" t="s">
        <v>2203</v>
      </c>
      <c r="B2212" s="1" t="str">
        <f>"20835521.2"</f>
        <v>20835521.2</v>
      </c>
      <c r="C2212" t="s">
        <v>275</v>
      </c>
      <c r="D2212" t="s">
        <v>2218</v>
      </c>
      <c r="E2212" s="2"/>
      <c r="F2212" t="s">
        <v>2219</v>
      </c>
      <c r="G2212" t="s">
        <v>13</v>
      </c>
      <c r="H2212" t="s">
        <v>218</v>
      </c>
      <c r="I2212"/>
    </row>
    <row r="2213" spans="1:9">
      <c r="A2213" t="s">
        <v>2203</v>
      </c>
      <c r="B2213" s="1" t="str">
        <f>"20051649"</f>
        <v>20051649</v>
      </c>
      <c r="C2213" t="s">
        <v>275</v>
      </c>
      <c r="D2213" t="s">
        <v>2220</v>
      </c>
      <c r="E2213" s="2"/>
      <c r="F2213" t="s">
        <v>63</v>
      </c>
      <c r="G2213" t="s">
        <v>148</v>
      </c>
      <c r="H2213" t="s">
        <v>148</v>
      </c>
      <c r="I2213"/>
    </row>
    <row r="2214" spans="1:9">
      <c r="A2214" t="s">
        <v>2203</v>
      </c>
      <c r="B2214" s="1" t="str">
        <f>"20051649.2"</f>
        <v>20051649.2</v>
      </c>
      <c r="C2214" t="s">
        <v>275</v>
      </c>
      <c r="D2214" t="s">
        <v>2220</v>
      </c>
      <c r="E2214" s="2"/>
      <c r="F2214" t="s">
        <v>63</v>
      </c>
      <c r="G2214" t="s">
        <v>148</v>
      </c>
      <c r="H2214" t="s">
        <v>218</v>
      </c>
      <c r="I2214"/>
    </row>
    <row r="2215" spans="1:9">
      <c r="A2215" t="s">
        <v>2203</v>
      </c>
      <c r="B2215" s="1" t="str">
        <f>"20148430"</f>
        <v>20148430</v>
      </c>
      <c r="C2215" t="s">
        <v>275</v>
      </c>
      <c r="D2215" t="s">
        <v>2221</v>
      </c>
      <c r="E2215" s="2"/>
      <c r="F2215" t="s">
        <v>547</v>
      </c>
      <c r="G2215" t="s">
        <v>82</v>
      </c>
      <c r="H2215" t="s">
        <v>82</v>
      </c>
      <c r="I2215"/>
    </row>
    <row r="2216" spans="1:9">
      <c r="A2216" t="s">
        <v>2203</v>
      </c>
      <c r="B2216" s="1" t="str">
        <f>"20148430.2"</f>
        <v>20148430.2</v>
      </c>
      <c r="C2216" t="s">
        <v>275</v>
      </c>
      <c r="D2216" t="s">
        <v>2221</v>
      </c>
      <c r="E2216" s="2"/>
      <c r="F2216" t="s">
        <v>547</v>
      </c>
      <c r="G2216" t="s">
        <v>82</v>
      </c>
      <c r="H2216" t="s">
        <v>218</v>
      </c>
      <c r="I2216"/>
    </row>
    <row r="2217" spans="1:9">
      <c r="A2217" t="s">
        <v>2203</v>
      </c>
      <c r="B2217" s="1" t="str">
        <f>"20033392"</f>
        <v>20033392</v>
      </c>
      <c r="C2217" t="s">
        <v>275</v>
      </c>
      <c r="D2217" t="s">
        <v>2222</v>
      </c>
      <c r="E2217" s="2"/>
      <c r="F2217" t="s">
        <v>873</v>
      </c>
      <c r="G2217" t="s">
        <v>80</v>
      </c>
      <c r="H2217" t="s">
        <v>80</v>
      </c>
      <c r="I2217"/>
    </row>
    <row r="2218" spans="1:9">
      <c r="A2218" t="s">
        <v>2203</v>
      </c>
      <c r="B2218" s="1" t="str">
        <f>"20072490"</f>
        <v>20072490</v>
      </c>
      <c r="C2218" t="s">
        <v>275</v>
      </c>
      <c r="D2218" t="s">
        <v>2223</v>
      </c>
      <c r="E2218" s="2"/>
      <c r="F2218" t="s">
        <v>2224</v>
      </c>
      <c r="G2218" t="s">
        <v>227</v>
      </c>
      <c r="H2218" t="s">
        <v>227</v>
      </c>
      <c r="I2218"/>
    </row>
    <row r="2219" spans="1:9">
      <c r="A2219" t="s">
        <v>2203</v>
      </c>
      <c r="B2219" s="1" t="str">
        <f>"20093990"</f>
        <v>20093990</v>
      </c>
      <c r="C2219" t="s">
        <v>275</v>
      </c>
      <c r="D2219" t="s">
        <v>2225</v>
      </c>
      <c r="E2219" s="2"/>
      <c r="F2219"/>
      <c r="G2219" t="s">
        <v>1310</v>
      </c>
      <c r="H2219" t="s">
        <v>1310</v>
      </c>
      <c r="I2219"/>
    </row>
    <row r="2220" spans="1:9">
      <c r="A2220" t="s">
        <v>2203</v>
      </c>
      <c r="B2220" s="1" t="str">
        <f>"20093990.2"</f>
        <v>20093990.2</v>
      </c>
      <c r="C2220" t="s">
        <v>275</v>
      </c>
      <c r="D2220" t="s">
        <v>2225</v>
      </c>
      <c r="E2220" s="2"/>
      <c r="F2220"/>
      <c r="G2220" t="s">
        <v>1310</v>
      </c>
      <c r="H2220" t="s">
        <v>218</v>
      </c>
      <c r="I2220"/>
    </row>
    <row r="2221" spans="1:9">
      <c r="A2221" t="s">
        <v>2203</v>
      </c>
      <c r="B2221" s="1" t="str">
        <f>"20088439"</f>
        <v>20088439</v>
      </c>
      <c r="C2221" t="s">
        <v>275</v>
      </c>
      <c r="D2221" t="s">
        <v>2226</v>
      </c>
      <c r="E2221" s="2"/>
      <c r="F2221" t="s">
        <v>107</v>
      </c>
      <c r="G2221" t="s">
        <v>80</v>
      </c>
      <c r="H2221" t="s">
        <v>80</v>
      </c>
      <c r="I2221"/>
    </row>
    <row r="2222" spans="1:9">
      <c r="A2222" t="s">
        <v>2203</v>
      </c>
      <c r="B2222" s="1" t="str">
        <f>"20088439.2"</f>
        <v>20088439.2</v>
      </c>
      <c r="C2222" t="s">
        <v>275</v>
      </c>
      <c r="D2222" t="s">
        <v>2226</v>
      </c>
      <c r="E2222" s="2"/>
      <c r="F2222" t="s">
        <v>107</v>
      </c>
      <c r="G2222" t="s">
        <v>80</v>
      </c>
      <c r="H2222" t="s">
        <v>218</v>
      </c>
      <c r="I2222"/>
    </row>
    <row r="2223" spans="1:9">
      <c r="A2223" t="s">
        <v>2203</v>
      </c>
      <c r="B2223" s="1" t="str">
        <f>"20346465"</f>
        <v>20346465</v>
      </c>
      <c r="C2223" t="s">
        <v>275</v>
      </c>
      <c r="D2223" t="s">
        <v>2227</v>
      </c>
      <c r="E2223" s="2"/>
      <c r="F2223"/>
      <c r="G2223"/>
      <c r="H2223" t="s">
        <v>232</v>
      </c>
      <c r="I2223"/>
    </row>
    <row r="2224" spans="1:9">
      <c r="A2224" t="s">
        <v>2203</v>
      </c>
      <c r="B2224" s="1" t="str">
        <f>"20346465.2"</f>
        <v>20346465.2</v>
      </c>
      <c r="C2224" t="s">
        <v>275</v>
      </c>
      <c r="D2224" t="s">
        <v>2227</v>
      </c>
      <c r="E2224" s="2"/>
      <c r="F2224"/>
      <c r="G2224"/>
      <c r="H2224" t="s">
        <v>218</v>
      </c>
      <c r="I2224"/>
    </row>
    <row r="2225" spans="1:9">
      <c r="A2225" t="s">
        <v>2203</v>
      </c>
      <c r="B2225" s="1" t="str">
        <f>"20040925"</f>
        <v>20040925</v>
      </c>
      <c r="C2225" t="s">
        <v>275</v>
      </c>
      <c r="D2225" t="s">
        <v>2228</v>
      </c>
      <c r="E2225" s="2"/>
      <c r="F2225" t="s">
        <v>79</v>
      </c>
      <c r="G2225" t="s">
        <v>695</v>
      </c>
      <c r="H2225" t="s">
        <v>695</v>
      </c>
      <c r="I2225"/>
    </row>
    <row r="2226" spans="1:9">
      <c r="A2226" t="s">
        <v>2203</v>
      </c>
      <c r="B2226" s="1" t="str">
        <f>"20040925.2"</f>
        <v>20040925.2</v>
      </c>
      <c r="C2226" t="s">
        <v>275</v>
      </c>
      <c r="D2226" t="s">
        <v>2228</v>
      </c>
      <c r="E2226" s="2"/>
      <c r="F2226" t="s">
        <v>79</v>
      </c>
      <c r="G2226" t="s">
        <v>695</v>
      </c>
      <c r="H2226" t="s">
        <v>517</v>
      </c>
      <c r="I2226"/>
    </row>
    <row r="2227" spans="1:9">
      <c r="A2227" t="s">
        <v>2203</v>
      </c>
      <c r="B2227" s="1" t="str">
        <f>"20017620"</f>
        <v>20017620</v>
      </c>
      <c r="C2227" t="s">
        <v>275</v>
      </c>
      <c r="D2227" t="s">
        <v>2229</v>
      </c>
      <c r="E2227" s="2"/>
      <c r="F2227"/>
      <c r="G2227" t="s">
        <v>13</v>
      </c>
      <c r="H2227" t="s">
        <v>13</v>
      </c>
      <c r="I2227"/>
    </row>
    <row r="2228" spans="1:9">
      <c r="A2228" t="s">
        <v>2203</v>
      </c>
      <c r="B2228" s="1" t="str">
        <f>"20017620.2"</f>
        <v>20017620.2</v>
      </c>
      <c r="C2228" t="s">
        <v>275</v>
      </c>
      <c r="D2228" t="s">
        <v>2229</v>
      </c>
      <c r="E2228" s="2"/>
      <c r="F2228"/>
      <c r="G2228" t="s">
        <v>13</v>
      </c>
      <c r="H2228" t="s">
        <v>218</v>
      </c>
      <c r="I2228"/>
    </row>
    <row r="2229" spans="1:9">
      <c r="A2229" t="s">
        <v>2203</v>
      </c>
      <c r="B2229" s="1" t="str">
        <f>"20073312"</f>
        <v>20073312</v>
      </c>
      <c r="C2229" t="s">
        <v>275</v>
      </c>
      <c r="D2229" t="s">
        <v>2230</v>
      </c>
      <c r="E2229" s="2"/>
      <c r="F2229" t="s">
        <v>31</v>
      </c>
      <c r="G2229" t="s">
        <v>1274</v>
      </c>
      <c r="H2229" t="s">
        <v>1274</v>
      </c>
      <c r="I2229"/>
    </row>
    <row r="2230" spans="1:9">
      <c r="A2230" t="s">
        <v>2203</v>
      </c>
      <c r="B2230" s="1" t="str">
        <f>"20073312.2"</f>
        <v>20073312.2</v>
      </c>
      <c r="C2230" t="s">
        <v>275</v>
      </c>
      <c r="D2230" t="s">
        <v>2230</v>
      </c>
      <c r="E2230" s="2"/>
      <c r="F2230" t="s">
        <v>31</v>
      </c>
      <c r="G2230" t="s">
        <v>1274</v>
      </c>
      <c r="H2230" t="s">
        <v>517</v>
      </c>
      <c r="I2230"/>
    </row>
    <row r="2231" spans="1:9">
      <c r="A2231" t="s">
        <v>2203</v>
      </c>
      <c r="B2231" s="1" t="str">
        <f>"20148416.2"</f>
        <v>20148416.2</v>
      </c>
      <c r="C2231" t="s">
        <v>275</v>
      </c>
      <c r="D2231" t="s">
        <v>2231</v>
      </c>
      <c r="E2231" s="2"/>
      <c r="F2231" t="s">
        <v>31</v>
      </c>
      <c r="G2231" t="s">
        <v>1159</v>
      </c>
      <c r="H2231" t="s">
        <v>218</v>
      </c>
      <c r="I2231"/>
    </row>
    <row r="2232" spans="1:9">
      <c r="A2232" t="s">
        <v>2203</v>
      </c>
      <c r="B2232" s="1" t="str">
        <f>"20099381"</f>
        <v>20099381</v>
      </c>
      <c r="C2232" t="s">
        <v>275</v>
      </c>
      <c r="D2232" t="s">
        <v>2232</v>
      </c>
      <c r="E2232" s="2"/>
      <c r="F2232" t="s">
        <v>48</v>
      </c>
      <c r="G2232" t="s">
        <v>227</v>
      </c>
      <c r="H2232" t="s">
        <v>227</v>
      </c>
      <c r="I2232"/>
    </row>
    <row r="2233" spans="1:9">
      <c r="A2233" t="s">
        <v>2203</v>
      </c>
      <c r="B2233" s="1" t="str">
        <f>"20099381.2"</f>
        <v>20099381.2</v>
      </c>
      <c r="C2233" t="s">
        <v>275</v>
      </c>
      <c r="D2233" t="s">
        <v>2232</v>
      </c>
      <c r="E2233" s="2"/>
      <c r="F2233" t="s">
        <v>48</v>
      </c>
      <c r="G2233" t="s">
        <v>227</v>
      </c>
      <c r="H2233" t="s">
        <v>218</v>
      </c>
      <c r="I2233"/>
    </row>
    <row r="2234" spans="1:9">
      <c r="A2234" t="s">
        <v>2203</v>
      </c>
      <c r="B2234" s="1" t="str">
        <f>"20073336"</f>
        <v>20073336</v>
      </c>
      <c r="C2234" t="s">
        <v>275</v>
      </c>
      <c r="D2234" t="s">
        <v>2233</v>
      </c>
      <c r="E2234" s="2"/>
      <c r="F2234" t="s">
        <v>68</v>
      </c>
      <c r="G2234" t="s">
        <v>82</v>
      </c>
      <c r="H2234" t="s">
        <v>82</v>
      </c>
      <c r="I2234"/>
    </row>
    <row r="2235" spans="1:9">
      <c r="A2235" t="s">
        <v>2203</v>
      </c>
      <c r="B2235" s="1" t="str">
        <f>"20073336.2"</f>
        <v>20073336.2</v>
      </c>
      <c r="C2235" t="s">
        <v>275</v>
      </c>
      <c r="D2235" t="s">
        <v>2233</v>
      </c>
      <c r="E2235" s="2"/>
      <c r="F2235" t="s">
        <v>68</v>
      </c>
      <c r="G2235" t="s">
        <v>82</v>
      </c>
      <c r="H2235" t="s">
        <v>218</v>
      </c>
      <c r="I2235"/>
    </row>
    <row r="2236" spans="1:9">
      <c r="A2236" t="s">
        <v>2203</v>
      </c>
      <c r="B2236" s="1" t="str">
        <f>"20148447"</f>
        <v>20148447</v>
      </c>
      <c r="C2236" t="s">
        <v>275</v>
      </c>
      <c r="D2236" t="s">
        <v>2234</v>
      </c>
      <c r="E2236" s="2"/>
      <c r="F2236" t="s">
        <v>90</v>
      </c>
      <c r="G2236" t="s">
        <v>177</v>
      </c>
      <c r="H2236" t="s">
        <v>177</v>
      </c>
      <c r="I2236"/>
    </row>
    <row r="2237" spans="1:9">
      <c r="A2237" t="s">
        <v>2203</v>
      </c>
      <c r="B2237" s="1" t="str">
        <f>"20148447.2"</f>
        <v>20148447.2</v>
      </c>
      <c r="C2237" t="s">
        <v>275</v>
      </c>
      <c r="D2237" t="s">
        <v>2234</v>
      </c>
      <c r="E2237" s="2"/>
      <c r="F2237" t="s">
        <v>90</v>
      </c>
      <c r="G2237" t="s">
        <v>177</v>
      </c>
      <c r="H2237" t="s">
        <v>218</v>
      </c>
      <c r="I2237"/>
    </row>
    <row r="2238" spans="1:9">
      <c r="A2238" t="s">
        <v>2203</v>
      </c>
      <c r="B2238" s="1" t="str">
        <f>"20515584"</f>
        <v>20515584</v>
      </c>
      <c r="C2238" t="s">
        <v>275</v>
      </c>
      <c r="D2238" t="s">
        <v>2235</v>
      </c>
      <c r="E2238" s="2"/>
      <c r="F2238" t="s">
        <v>862</v>
      </c>
      <c r="G2238" t="s">
        <v>322</v>
      </c>
      <c r="H2238" t="s">
        <v>322</v>
      </c>
      <c r="I2238"/>
    </row>
    <row r="2239" spans="1:9">
      <c r="A2239" t="s">
        <v>2203</v>
      </c>
      <c r="B2239" s="1" t="str">
        <f>"20515584.2"</f>
        <v>20515584.2</v>
      </c>
      <c r="C2239" t="s">
        <v>275</v>
      </c>
      <c r="D2239" t="s">
        <v>2235</v>
      </c>
      <c r="E2239" s="2"/>
      <c r="F2239" t="s">
        <v>862</v>
      </c>
      <c r="G2239" t="s">
        <v>322</v>
      </c>
      <c r="H2239" t="s">
        <v>218</v>
      </c>
      <c r="I2239"/>
    </row>
    <row r="2240" spans="1:9">
      <c r="A2240" t="s">
        <v>2203</v>
      </c>
      <c r="B2240" s="1" t="str">
        <f>"20148393"</f>
        <v>20148393</v>
      </c>
      <c r="C2240" t="s">
        <v>275</v>
      </c>
      <c r="D2240" t="s">
        <v>2236</v>
      </c>
      <c r="E2240" s="2"/>
      <c r="F2240" t="s">
        <v>79</v>
      </c>
      <c r="G2240" t="s">
        <v>82</v>
      </c>
      <c r="H2240" t="s">
        <v>82</v>
      </c>
      <c r="I2240"/>
    </row>
    <row r="2241" spans="1:9">
      <c r="A2241" t="s">
        <v>2203</v>
      </c>
      <c r="B2241" s="1" t="str">
        <f>"20148393.2"</f>
        <v>20148393.2</v>
      </c>
      <c r="C2241" t="s">
        <v>275</v>
      </c>
      <c r="D2241" t="s">
        <v>2236</v>
      </c>
      <c r="E2241" s="2"/>
      <c r="F2241" t="s">
        <v>79</v>
      </c>
      <c r="G2241" t="s">
        <v>82</v>
      </c>
      <c r="H2241" t="s">
        <v>218</v>
      </c>
      <c r="I2241"/>
    </row>
    <row r="2242" spans="1:9">
      <c r="A2242" t="s">
        <v>2203</v>
      </c>
      <c r="B2242" s="1" t="str">
        <f>"20099329"</f>
        <v>20099329</v>
      </c>
      <c r="C2242" t="s">
        <v>275</v>
      </c>
      <c r="D2242" t="s">
        <v>2237</v>
      </c>
      <c r="E2242" s="2"/>
      <c r="F2242" t="s">
        <v>79</v>
      </c>
      <c r="G2242" t="s">
        <v>82</v>
      </c>
      <c r="H2242" t="s">
        <v>82</v>
      </c>
      <c r="I2242"/>
    </row>
    <row r="2243" spans="1:9">
      <c r="A2243" t="s">
        <v>2203</v>
      </c>
      <c r="B2243" s="1" t="str">
        <f>"20099329.2"</f>
        <v>20099329.2</v>
      </c>
      <c r="C2243" t="s">
        <v>275</v>
      </c>
      <c r="D2243" t="s">
        <v>2237</v>
      </c>
      <c r="E2243" s="2"/>
      <c r="F2243" t="s">
        <v>79</v>
      </c>
      <c r="G2243" t="s">
        <v>82</v>
      </c>
      <c r="H2243" t="s">
        <v>218</v>
      </c>
      <c r="I2243"/>
    </row>
    <row r="2244" spans="1:9">
      <c r="A2244" t="s">
        <v>2203</v>
      </c>
      <c r="B2244" s="1" t="str">
        <f>"20251789"</f>
        <v>20251789</v>
      </c>
      <c r="C2244" t="s">
        <v>275</v>
      </c>
      <c r="D2244" t="s">
        <v>2238</v>
      </c>
      <c r="E2244" s="2"/>
      <c r="F2244"/>
      <c r="G2244" t="s">
        <v>232</v>
      </c>
      <c r="H2244" t="s">
        <v>232</v>
      </c>
      <c r="I2244"/>
    </row>
    <row r="2245" spans="1:9">
      <c r="A2245" t="s">
        <v>2203</v>
      </c>
      <c r="B2245" s="1" t="str">
        <f>"20251789.2"</f>
        <v>20251789.2</v>
      </c>
      <c r="C2245" t="s">
        <v>275</v>
      </c>
      <c r="D2245" t="s">
        <v>2238</v>
      </c>
      <c r="E2245" s="2"/>
      <c r="F2245"/>
      <c r="G2245" t="s">
        <v>232</v>
      </c>
      <c r="H2245" t="s">
        <v>218</v>
      </c>
      <c r="I2245"/>
    </row>
    <row r="2246" spans="1:9">
      <c r="A2246" t="s">
        <v>2203</v>
      </c>
      <c r="B2246" s="1" t="str">
        <f>"20017637"</f>
        <v>20017637</v>
      </c>
      <c r="C2246" t="s">
        <v>275</v>
      </c>
      <c r="D2246" t="s">
        <v>2239</v>
      </c>
      <c r="E2246" s="2"/>
      <c r="F2246"/>
      <c r="G2246" t="s">
        <v>795</v>
      </c>
      <c r="H2246" t="s">
        <v>795</v>
      </c>
      <c r="I2246"/>
    </row>
    <row r="2247" spans="1:9">
      <c r="A2247" t="s">
        <v>2203</v>
      </c>
      <c r="B2247" s="1" t="str">
        <f>"20017637.2"</f>
        <v>20017637.2</v>
      </c>
      <c r="C2247" t="s">
        <v>275</v>
      </c>
      <c r="D2247" t="s">
        <v>2239</v>
      </c>
      <c r="E2247" s="2"/>
      <c r="F2247"/>
      <c r="G2247" t="s">
        <v>795</v>
      </c>
      <c r="H2247" t="s">
        <v>218</v>
      </c>
      <c r="I2247"/>
    </row>
    <row r="2248" spans="1:9">
      <c r="A2248" t="s">
        <v>2203</v>
      </c>
      <c r="B2248" s="1" t="str">
        <f>"20033453"</f>
        <v>20033453</v>
      </c>
      <c r="C2248" t="s">
        <v>275</v>
      </c>
      <c r="D2248" t="s">
        <v>2240</v>
      </c>
      <c r="E2248" s="2"/>
      <c r="F2248" t="s">
        <v>547</v>
      </c>
      <c r="G2248" t="s">
        <v>177</v>
      </c>
      <c r="H2248" t="s">
        <v>177</v>
      </c>
      <c r="I2248"/>
    </row>
    <row r="2249" spans="1:9">
      <c r="A2249" t="s">
        <v>2203</v>
      </c>
      <c r="B2249" s="1" t="str">
        <f>"20033453.2"</f>
        <v>20033453.2</v>
      </c>
      <c r="C2249" t="s">
        <v>275</v>
      </c>
      <c r="D2249" t="s">
        <v>2240</v>
      </c>
      <c r="E2249" s="2"/>
      <c r="F2249" t="s">
        <v>547</v>
      </c>
      <c r="G2249" t="s">
        <v>177</v>
      </c>
      <c r="H2249" t="s">
        <v>218</v>
      </c>
      <c r="I2249"/>
    </row>
    <row r="2250" spans="1:9">
      <c r="A2250" t="s">
        <v>2203</v>
      </c>
      <c r="B2250" s="1" t="str">
        <f>"20017644"</f>
        <v>20017644</v>
      </c>
      <c r="C2250" t="s">
        <v>275</v>
      </c>
      <c r="D2250" t="s">
        <v>2241</v>
      </c>
      <c r="E2250" s="2"/>
      <c r="F2250"/>
      <c r="G2250" t="s">
        <v>868</v>
      </c>
      <c r="H2250" t="s">
        <v>868</v>
      </c>
      <c r="I2250"/>
    </row>
    <row r="2251" spans="1:9">
      <c r="A2251" t="s">
        <v>2203</v>
      </c>
      <c r="B2251" s="1" t="str">
        <f>"20017644.2"</f>
        <v>20017644.2</v>
      </c>
      <c r="C2251" t="s">
        <v>275</v>
      </c>
      <c r="D2251" t="s">
        <v>2241</v>
      </c>
      <c r="E2251" s="2"/>
      <c r="F2251"/>
      <c r="G2251" t="s">
        <v>868</v>
      </c>
      <c r="H2251" t="s">
        <v>218</v>
      </c>
      <c r="I2251"/>
    </row>
    <row r="2252" spans="1:9">
      <c r="A2252" t="s">
        <v>2203</v>
      </c>
      <c r="B2252" s="1" t="str">
        <f>"20017828"</f>
        <v>20017828</v>
      </c>
      <c r="C2252" t="s">
        <v>275</v>
      </c>
      <c r="D2252" t="s">
        <v>2242</v>
      </c>
      <c r="E2252" s="2"/>
      <c r="F2252"/>
      <c r="G2252" t="s">
        <v>868</v>
      </c>
      <c r="H2252" t="s">
        <v>868</v>
      </c>
      <c r="I2252"/>
    </row>
    <row r="2253" spans="1:9">
      <c r="A2253" t="s">
        <v>2203</v>
      </c>
      <c r="B2253" s="1" t="str">
        <f>"20017828.2"</f>
        <v>20017828.2</v>
      </c>
      <c r="C2253" t="s">
        <v>275</v>
      </c>
      <c r="D2253" t="s">
        <v>2242</v>
      </c>
      <c r="E2253" s="2"/>
      <c r="F2253"/>
      <c r="G2253" t="s">
        <v>868</v>
      </c>
      <c r="H2253" t="s">
        <v>218</v>
      </c>
      <c r="I2253"/>
    </row>
    <row r="2254" spans="1:9">
      <c r="A2254" t="s">
        <v>2203</v>
      </c>
      <c r="B2254" s="1" t="str">
        <f>"20268527"</f>
        <v>20268527</v>
      </c>
      <c r="C2254" t="s">
        <v>275</v>
      </c>
      <c r="D2254" t="s">
        <v>2243</v>
      </c>
      <c r="E2254" s="2"/>
      <c r="F2254"/>
      <c r="G2254" t="s">
        <v>177</v>
      </c>
      <c r="H2254" t="s">
        <v>177</v>
      </c>
      <c r="I2254"/>
    </row>
    <row r="2255" spans="1:9">
      <c r="A2255" t="s">
        <v>2203</v>
      </c>
      <c r="B2255" s="1" t="str">
        <f>"20268527.2"</f>
        <v>20268527.2</v>
      </c>
      <c r="C2255" t="s">
        <v>275</v>
      </c>
      <c r="D2255" t="s">
        <v>2243</v>
      </c>
      <c r="E2255" s="2"/>
      <c r="F2255"/>
      <c r="G2255" t="s">
        <v>177</v>
      </c>
      <c r="H2255" t="s">
        <v>218</v>
      </c>
      <c r="I2255"/>
    </row>
    <row r="2256" spans="1:9">
      <c r="A2256" t="s">
        <v>2203</v>
      </c>
      <c r="B2256" s="1" t="str">
        <f>"20016839"</f>
        <v>20016839</v>
      </c>
      <c r="C2256" t="s">
        <v>275</v>
      </c>
      <c r="D2256" t="s">
        <v>2244</v>
      </c>
      <c r="E2256" s="2"/>
      <c r="F2256"/>
      <c r="G2256" t="s">
        <v>2245</v>
      </c>
      <c r="H2256" t="s">
        <v>2245</v>
      </c>
      <c r="I2256"/>
    </row>
    <row r="2257" spans="1:9">
      <c r="A2257" t="s">
        <v>2203</v>
      </c>
      <c r="B2257" s="1" t="str">
        <f>"20016839.2"</f>
        <v>20016839.2</v>
      </c>
      <c r="C2257" t="s">
        <v>275</v>
      </c>
      <c r="D2257" t="s">
        <v>2244</v>
      </c>
      <c r="E2257" s="2"/>
      <c r="F2257"/>
      <c r="G2257" t="s">
        <v>2245</v>
      </c>
      <c r="H2257" t="s">
        <v>218</v>
      </c>
      <c r="I2257"/>
    </row>
    <row r="2258" spans="1:9">
      <c r="A2258" t="s">
        <v>2203</v>
      </c>
      <c r="B2258" s="1" t="str">
        <f>"20016838"</f>
        <v>20016838</v>
      </c>
      <c r="C2258" t="s">
        <v>275</v>
      </c>
      <c r="D2258" t="s">
        <v>2246</v>
      </c>
      <c r="E2258" s="2"/>
      <c r="F2258"/>
      <c r="G2258" t="s">
        <v>2211</v>
      </c>
      <c r="H2258" t="s">
        <v>2211</v>
      </c>
      <c r="I2258"/>
    </row>
    <row r="2259" spans="1:9">
      <c r="A2259" t="s">
        <v>2203</v>
      </c>
      <c r="B2259" s="1" t="str">
        <f>"20016838.2"</f>
        <v>20016838.2</v>
      </c>
      <c r="C2259" t="s">
        <v>275</v>
      </c>
      <c r="D2259" t="s">
        <v>2246</v>
      </c>
      <c r="E2259" s="2"/>
      <c r="F2259"/>
      <c r="G2259" t="s">
        <v>2211</v>
      </c>
      <c r="H2259" t="s">
        <v>218</v>
      </c>
      <c r="I2259"/>
    </row>
    <row r="2260" spans="1:9">
      <c r="A2260" t="s">
        <v>2203</v>
      </c>
      <c r="B2260" s="1" t="str">
        <f>"20251765"</f>
        <v>20251765</v>
      </c>
      <c r="C2260" t="s">
        <v>275</v>
      </c>
      <c r="D2260" t="s">
        <v>2247</v>
      </c>
      <c r="E2260" s="2"/>
      <c r="F2260"/>
      <c r="G2260" t="s">
        <v>232</v>
      </c>
      <c r="H2260" t="s">
        <v>232</v>
      </c>
      <c r="I2260"/>
    </row>
    <row r="2261" spans="1:9">
      <c r="A2261" t="s">
        <v>2203</v>
      </c>
      <c r="B2261" s="1" t="str">
        <f>"20251765.2"</f>
        <v>20251765.2</v>
      </c>
      <c r="C2261" t="s">
        <v>275</v>
      </c>
      <c r="D2261" t="s">
        <v>2247</v>
      </c>
      <c r="E2261" s="2"/>
      <c r="F2261"/>
      <c r="G2261" t="s">
        <v>232</v>
      </c>
      <c r="H2261" t="s">
        <v>218</v>
      </c>
      <c r="I2261"/>
    </row>
    <row r="2262" spans="1:9">
      <c r="A2262" t="s">
        <v>2203</v>
      </c>
      <c r="B2262" s="1" t="str">
        <f>"20516130"</f>
        <v>20516130</v>
      </c>
      <c r="C2262" t="s">
        <v>275</v>
      </c>
      <c r="D2262" t="s">
        <v>2248</v>
      </c>
      <c r="E2262" s="2"/>
      <c r="F2262" t="s">
        <v>79</v>
      </c>
      <c r="G2262" t="s">
        <v>2249</v>
      </c>
      <c r="H2262" t="s">
        <v>2249</v>
      </c>
      <c r="I2262"/>
    </row>
    <row r="2263" spans="1:9">
      <c r="A2263" t="s">
        <v>2203</v>
      </c>
      <c r="B2263" s="1" t="str">
        <f>"20516130.2"</f>
        <v>20516130.2</v>
      </c>
      <c r="C2263" t="s">
        <v>275</v>
      </c>
      <c r="D2263" t="s">
        <v>2248</v>
      </c>
      <c r="E2263" s="2"/>
      <c r="F2263" t="s">
        <v>79</v>
      </c>
      <c r="G2263" t="s">
        <v>2249</v>
      </c>
      <c r="H2263" t="s">
        <v>218</v>
      </c>
      <c r="I2263"/>
    </row>
    <row r="2264" spans="1:9">
      <c r="A2264" t="s">
        <v>2203</v>
      </c>
      <c r="B2264" s="1" t="str">
        <f>"20022006"</f>
        <v>20022006</v>
      </c>
      <c r="C2264" t="s">
        <v>209</v>
      </c>
      <c r="D2264" t="s">
        <v>2250</v>
      </c>
      <c r="E2264" s="2"/>
      <c r="F2264" t="s">
        <v>68</v>
      </c>
      <c r="G2264" t="s">
        <v>614</v>
      </c>
      <c r="H2264" t="s">
        <v>614</v>
      </c>
      <c r="I2264"/>
    </row>
    <row r="2265" spans="1:9">
      <c r="A2265" t="s">
        <v>2203</v>
      </c>
      <c r="B2265" s="1" t="str">
        <f>"23425141"</f>
        <v>23425141</v>
      </c>
      <c r="C2265" t="s">
        <v>209</v>
      </c>
      <c r="D2265" t="s">
        <v>2232</v>
      </c>
      <c r="E2265" s="2"/>
      <c r="F2265" t="s">
        <v>68</v>
      </c>
      <c r="G2265" t="s">
        <v>2251</v>
      </c>
      <c r="H2265" t="s">
        <v>2251</v>
      </c>
      <c r="I2265"/>
    </row>
    <row r="2266" spans="1:9">
      <c r="A2266" t="s">
        <v>2203</v>
      </c>
      <c r="B2266" s="1" t="str">
        <f>"20021986"</f>
        <v>20021986</v>
      </c>
      <c r="C2266" t="s">
        <v>209</v>
      </c>
      <c r="D2266" t="s">
        <v>2252</v>
      </c>
      <c r="E2266" s="2"/>
      <c r="F2266" t="s">
        <v>68</v>
      </c>
      <c r="G2266" t="s">
        <v>616</v>
      </c>
      <c r="H2266" t="s">
        <v>616</v>
      </c>
      <c r="I2266"/>
    </row>
    <row r="2267" spans="1:9">
      <c r="A2267" t="s">
        <v>2203</v>
      </c>
      <c r="B2267" s="1" t="str">
        <f>"20628796"</f>
        <v>20628796</v>
      </c>
      <c r="C2267" t="s">
        <v>209</v>
      </c>
      <c r="D2267" t="s">
        <v>2253</v>
      </c>
      <c r="E2267" s="2"/>
      <c r="F2267" t="s">
        <v>79</v>
      </c>
      <c r="G2267" t="s">
        <v>620</v>
      </c>
      <c r="H2267" t="s">
        <v>620</v>
      </c>
      <c r="I2267"/>
    </row>
    <row r="2268" spans="1:9">
      <c r="A2268" t="s">
        <v>2203</v>
      </c>
      <c r="B2268" s="1" t="str">
        <f>"20068653"</f>
        <v>20068653</v>
      </c>
      <c r="C2268" t="s">
        <v>209</v>
      </c>
      <c r="D2268" t="s">
        <v>2254</v>
      </c>
      <c r="E2268" s="2"/>
      <c r="F2268" t="s">
        <v>79</v>
      </c>
      <c r="G2268" t="s">
        <v>695</v>
      </c>
      <c r="H2268" t="s">
        <v>695</v>
      </c>
      <c r="I2268"/>
    </row>
    <row r="2269" spans="1:9">
      <c r="A2269" t="s">
        <v>2203</v>
      </c>
      <c r="B2269" s="1" t="str">
        <f>"20111649"</f>
        <v>20111649</v>
      </c>
      <c r="C2269" t="s">
        <v>209</v>
      </c>
      <c r="D2269" t="s">
        <v>2255</v>
      </c>
      <c r="E2269" s="2"/>
      <c r="F2269" t="s">
        <v>79</v>
      </c>
      <c r="G2269" t="s">
        <v>243</v>
      </c>
      <c r="H2269" t="s">
        <v>243</v>
      </c>
      <c r="I2269"/>
    </row>
    <row r="2270" spans="1:9">
      <c r="A2270" t="s">
        <v>2203</v>
      </c>
      <c r="B2270" s="1" t="str">
        <f>"20577636"</f>
        <v>20577636</v>
      </c>
      <c r="C2270" t="s">
        <v>209</v>
      </c>
      <c r="D2270" t="s">
        <v>2256</v>
      </c>
      <c r="E2270" s="2"/>
      <c r="F2270" t="s">
        <v>68</v>
      </c>
      <c r="G2270" t="s">
        <v>614</v>
      </c>
      <c r="H2270" t="s">
        <v>614</v>
      </c>
      <c r="I2270"/>
    </row>
    <row r="2271" spans="1:9">
      <c r="A2271" t="s">
        <v>2203</v>
      </c>
      <c r="B2271" s="1" t="str">
        <f>"20111632"</f>
        <v>20111632</v>
      </c>
      <c r="C2271" t="s">
        <v>209</v>
      </c>
      <c r="D2271" t="s">
        <v>2257</v>
      </c>
      <c r="E2271" s="2"/>
      <c r="F2271" t="s">
        <v>79</v>
      </c>
      <c r="G2271" t="s">
        <v>620</v>
      </c>
      <c r="H2271" t="s">
        <v>620</v>
      </c>
      <c r="I2271"/>
    </row>
    <row r="2272" spans="1:9">
      <c r="A2272" t="s">
        <v>2203</v>
      </c>
      <c r="B2272" s="1" t="str">
        <f>"20111663"</f>
        <v>20111663</v>
      </c>
      <c r="C2272" t="s">
        <v>209</v>
      </c>
      <c r="D2272" t="s">
        <v>2258</v>
      </c>
      <c r="E2272" s="2"/>
      <c r="F2272" t="s">
        <v>90</v>
      </c>
      <c r="G2272" t="s">
        <v>299</v>
      </c>
      <c r="H2272" t="s">
        <v>299</v>
      </c>
      <c r="I2272"/>
    </row>
    <row r="2273" spans="1:9">
      <c r="A2273" t="s">
        <v>2203</v>
      </c>
      <c r="B2273" s="1" t="str">
        <f>"20155450"</f>
        <v>20155450</v>
      </c>
      <c r="C2273" t="s">
        <v>209</v>
      </c>
      <c r="D2273" t="s">
        <v>2258</v>
      </c>
      <c r="E2273" s="2"/>
      <c r="F2273" t="s">
        <v>90</v>
      </c>
      <c r="G2273" t="s">
        <v>82</v>
      </c>
      <c r="H2273" t="s">
        <v>82</v>
      </c>
      <c r="I2273"/>
    </row>
    <row r="2274" spans="1:9">
      <c r="A2274" t="s">
        <v>2203</v>
      </c>
      <c r="B2274" s="1" t="str">
        <f>"20068592"</f>
        <v>20068592</v>
      </c>
      <c r="C2274" t="s">
        <v>209</v>
      </c>
      <c r="D2274" t="s">
        <v>2259</v>
      </c>
      <c r="E2274" s="2"/>
      <c r="F2274" t="s">
        <v>79</v>
      </c>
      <c r="G2274" t="s">
        <v>2260</v>
      </c>
      <c r="H2274" t="s">
        <v>2260</v>
      </c>
      <c r="I2274"/>
    </row>
    <row r="2275" spans="1:9">
      <c r="A2275" t="s">
        <v>2203</v>
      </c>
      <c r="B2275" s="1" t="str">
        <f>"20099930"</f>
        <v>20099930</v>
      </c>
      <c r="C2275" t="s">
        <v>225</v>
      </c>
      <c r="D2275" t="s">
        <v>2261</v>
      </c>
      <c r="E2275" s="2"/>
      <c r="F2275" t="s">
        <v>783</v>
      </c>
      <c r="G2275" t="s">
        <v>2262</v>
      </c>
      <c r="H2275" t="s">
        <v>2262</v>
      </c>
      <c r="I2275"/>
    </row>
    <row r="2276" spans="1:9">
      <c r="A2276" t="s">
        <v>2203</v>
      </c>
      <c r="B2276" s="1" t="str">
        <f>"20016555"</f>
        <v>20016555</v>
      </c>
      <c r="C2276" t="s">
        <v>225</v>
      </c>
      <c r="D2276" t="s">
        <v>2263</v>
      </c>
      <c r="E2276" s="2"/>
      <c r="F2276" t="s">
        <v>547</v>
      </c>
      <c r="G2276" t="s">
        <v>487</v>
      </c>
      <c r="H2276" t="s">
        <v>2264</v>
      </c>
      <c r="I2276"/>
    </row>
    <row r="2277" spans="1:9">
      <c r="A2277" t="s">
        <v>2203</v>
      </c>
      <c r="B2277" s="1" t="str">
        <f>"20288051"</f>
        <v>20288051</v>
      </c>
      <c r="C2277" t="s">
        <v>225</v>
      </c>
      <c r="D2277" t="s">
        <v>2265</v>
      </c>
      <c r="E2277" s="2"/>
      <c r="F2277" t="s">
        <v>68</v>
      </c>
      <c r="G2277" t="s">
        <v>780</v>
      </c>
      <c r="H2277" t="s">
        <v>778</v>
      </c>
      <c r="I2277"/>
    </row>
    <row r="2278" spans="1:9">
      <c r="A2278" t="s">
        <v>2203</v>
      </c>
      <c r="B2278" s="1" t="str">
        <f>"29867003"</f>
        <v>29867003</v>
      </c>
      <c r="C2278" t="s">
        <v>225</v>
      </c>
      <c r="D2278" t="s">
        <v>2266</v>
      </c>
      <c r="E2278" s="2"/>
      <c r="F2278" t="s">
        <v>68</v>
      </c>
      <c r="G2278" t="s">
        <v>610</v>
      </c>
      <c r="H2278" t="s">
        <v>610</v>
      </c>
      <c r="I2278"/>
    </row>
    <row r="2279" spans="1:9">
      <c r="A2279" t="s">
        <v>2203</v>
      </c>
      <c r="B2279" s="1" t="str">
        <f>"20022007"</f>
        <v>20022007</v>
      </c>
      <c r="C2279" t="s">
        <v>225</v>
      </c>
      <c r="D2279" t="s">
        <v>2267</v>
      </c>
      <c r="E2279" s="2"/>
      <c r="F2279" t="s">
        <v>68</v>
      </c>
      <c r="G2279" t="s">
        <v>610</v>
      </c>
      <c r="H2279" t="s">
        <v>610</v>
      </c>
      <c r="I2279"/>
    </row>
    <row r="2280" spans="1:9">
      <c r="A2280" t="s">
        <v>2203</v>
      </c>
      <c r="B2280" s="1" t="str">
        <f>"20233008"</f>
        <v>20233008</v>
      </c>
      <c r="C2280" t="s">
        <v>225</v>
      </c>
      <c r="D2280" t="s">
        <v>2233</v>
      </c>
      <c r="E2280" s="2"/>
      <c r="F2280" t="s">
        <v>68</v>
      </c>
      <c r="G2280" t="s">
        <v>80</v>
      </c>
      <c r="H2280" t="s">
        <v>80</v>
      </c>
      <c r="I2280"/>
    </row>
    <row r="2281" spans="1:9">
      <c r="A2281" t="s">
        <v>2203</v>
      </c>
      <c r="B2281" s="1" t="str">
        <f>"20048112"</f>
        <v>20048112</v>
      </c>
      <c r="C2281" t="s">
        <v>225</v>
      </c>
      <c r="D2281" t="s">
        <v>2268</v>
      </c>
      <c r="E2281" s="2"/>
      <c r="F2281"/>
      <c r="G2281" t="s">
        <v>2269</v>
      </c>
      <c r="H2281" t="s">
        <v>2269</v>
      </c>
      <c r="I2281"/>
    </row>
    <row r="2282" spans="1:9">
      <c r="A2282" t="s">
        <v>2203</v>
      </c>
      <c r="B2282" s="1" t="str">
        <f>"20057916"</f>
        <v>20057916</v>
      </c>
      <c r="C2282" t="s">
        <v>225</v>
      </c>
      <c r="D2282" t="s">
        <v>2270</v>
      </c>
      <c r="E2282" s="2"/>
      <c r="F2282" t="s">
        <v>857</v>
      </c>
      <c r="G2282" t="s">
        <v>795</v>
      </c>
      <c r="H2282" t="s">
        <v>795</v>
      </c>
      <c r="I2282"/>
    </row>
    <row r="2283" spans="1:9">
      <c r="A2283" t="s">
        <v>2203</v>
      </c>
      <c r="B2283" s="1" t="str">
        <f>"20116965"</f>
        <v>20116965</v>
      </c>
      <c r="C2283" t="s">
        <v>225</v>
      </c>
      <c r="D2283" t="s">
        <v>2271</v>
      </c>
      <c r="E2283" s="2"/>
      <c r="F2283" t="s">
        <v>857</v>
      </c>
      <c r="G2283" t="s">
        <v>795</v>
      </c>
      <c r="H2283" t="s">
        <v>795</v>
      </c>
      <c r="I2283"/>
    </row>
    <row r="2284" spans="1:9">
      <c r="A2284" t="s">
        <v>2203</v>
      </c>
      <c r="B2284" s="1" t="str">
        <f>"20186937"</f>
        <v>20186937</v>
      </c>
      <c r="C2284" t="s">
        <v>225</v>
      </c>
      <c r="D2284" t="s">
        <v>2272</v>
      </c>
      <c r="E2284" s="2"/>
      <c r="F2284" t="s">
        <v>1272</v>
      </c>
      <c r="G2284" t="s">
        <v>623</v>
      </c>
      <c r="H2284" t="s">
        <v>623</v>
      </c>
      <c r="I2284"/>
    </row>
    <row r="2285" spans="1:9">
      <c r="A2285" t="s">
        <v>2203</v>
      </c>
      <c r="B2285" s="1" t="str">
        <f>"22597074"</f>
        <v>22597074</v>
      </c>
      <c r="C2285" t="s">
        <v>225</v>
      </c>
      <c r="D2285" t="s">
        <v>200</v>
      </c>
      <c r="E2285" s="2"/>
      <c r="F2285" t="s">
        <v>68</v>
      </c>
      <c r="G2285" t="s">
        <v>616</v>
      </c>
      <c r="H2285" t="s">
        <v>616</v>
      </c>
      <c r="I2285"/>
    </row>
    <row r="2286" spans="1:9">
      <c r="A2286" t="s">
        <v>2203</v>
      </c>
      <c r="B2286" s="1" t="str">
        <f>"20068417"</f>
        <v>20068417</v>
      </c>
      <c r="C2286" t="s">
        <v>225</v>
      </c>
      <c r="D2286" t="s">
        <v>2273</v>
      </c>
      <c r="E2286" s="2"/>
      <c r="F2286" t="s">
        <v>79</v>
      </c>
      <c r="G2286" t="s">
        <v>2260</v>
      </c>
      <c r="H2286" t="s">
        <v>2260</v>
      </c>
      <c r="I2286"/>
    </row>
    <row r="2287" spans="1:9">
      <c r="A2287" t="s">
        <v>2203</v>
      </c>
      <c r="B2287" s="1" t="str">
        <f>"20515904"</f>
        <v>20515904</v>
      </c>
      <c r="C2287" t="s">
        <v>2274</v>
      </c>
      <c r="D2287" t="s">
        <v>2275</v>
      </c>
      <c r="E2287" s="2"/>
      <c r="F2287"/>
      <c r="G2287" t="s">
        <v>322</v>
      </c>
      <c r="H2287" t="s">
        <v>322</v>
      </c>
      <c r="I2287"/>
    </row>
    <row r="2288" spans="1:9">
      <c r="A2288" t="s">
        <v>2203</v>
      </c>
      <c r="B2288" s="1" t="str">
        <f>"20515904.2"</f>
        <v>20515904.2</v>
      </c>
      <c r="C2288" t="s">
        <v>2274</v>
      </c>
      <c r="D2288" t="s">
        <v>2275</v>
      </c>
      <c r="E2288" s="2"/>
      <c r="F2288"/>
      <c r="G2288" t="s">
        <v>322</v>
      </c>
      <c r="H2288" t="s">
        <v>218</v>
      </c>
      <c r="I2288"/>
    </row>
    <row r="2289" spans="1:9">
      <c r="A2289" t="s">
        <v>2203</v>
      </c>
      <c r="B2289" s="1" t="str">
        <f>"12009482"</f>
        <v>12009482</v>
      </c>
      <c r="C2289" t="s">
        <v>1363</v>
      </c>
      <c r="D2289" t="s">
        <v>2276</v>
      </c>
      <c r="E2289" s="2"/>
      <c r="F2289" t="s">
        <v>1421</v>
      </c>
      <c r="G2289" t="s">
        <v>2277</v>
      </c>
      <c r="H2289" t="s">
        <v>1088</v>
      </c>
      <c r="I2289"/>
    </row>
    <row r="2290" spans="1:9">
      <c r="A2290" t="s">
        <v>2203</v>
      </c>
      <c r="B2290" s="1" t="str">
        <f>"20050023"</f>
        <v>20050023</v>
      </c>
      <c r="C2290" t="s">
        <v>2278</v>
      </c>
      <c r="D2290" t="s">
        <v>2279</v>
      </c>
      <c r="E2290" s="2"/>
      <c r="F2290" t="s">
        <v>48</v>
      </c>
      <c r="G2290" t="s">
        <v>82</v>
      </c>
      <c r="H2290" t="s">
        <v>82</v>
      </c>
      <c r="I2290"/>
    </row>
    <row r="2291" spans="1:9">
      <c r="A2291" t="s">
        <v>2203</v>
      </c>
      <c r="B2291" s="1" t="str">
        <f>"20050023.2"</f>
        <v>20050023.2</v>
      </c>
      <c r="C2291" t="s">
        <v>2278</v>
      </c>
      <c r="D2291" t="s">
        <v>2279</v>
      </c>
      <c r="E2291" s="2"/>
      <c r="F2291" t="s">
        <v>48</v>
      </c>
      <c r="G2291" t="s">
        <v>82</v>
      </c>
      <c r="H2291" t="s">
        <v>218</v>
      </c>
      <c r="I2291"/>
    </row>
    <row r="2292" spans="1:9">
      <c r="A2292" t="s">
        <v>2203</v>
      </c>
      <c r="B2292" s="1" t="str">
        <f>"20024918"</f>
        <v>20024918</v>
      </c>
      <c r="C2292" t="s">
        <v>2278</v>
      </c>
      <c r="D2292" t="s">
        <v>2280</v>
      </c>
      <c r="E2292" s="2"/>
      <c r="F2292" t="s">
        <v>48</v>
      </c>
      <c r="G2292" t="s">
        <v>82</v>
      </c>
      <c r="H2292" t="s">
        <v>82</v>
      </c>
      <c r="I2292"/>
    </row>
    <row r="2293" spans="1:9">
      <c r="A2293" t="s">
        <v>2203</v>
      </c>
      <c r="B2293" s="1" t="str">
        <f>"20024918.2"</f>
        <v>20024918.2</v>
      </c>
      <c r="C2293" t="s">
        <v>2278</v>
      </c>
      <c r="D2293" t="s">
        <v>2280</v>
      </c>
      <c r="E2293" s="2"/>
      <c r="F2293" t="s">
        <v>48</v>
      </c>
      <c r="G2293" t="s">
        <v>82</v>
      </c>
      <c r="H2293" t="s">
        <v>218</v>
      </c>
      <c r="I2293"/>
    </row>
    <row r="2294" spans="1:9">
      <c r="A2294" t="s">
        <v>2203</v>
      </c>
      <c r="B2294" s="1" t="str">
        <f>"20835545"</f>
        <v>20835545</v>
      </c>
      <c r="C2294" t="s">
        <v>2154</v>
      </c>
      <c r="D2294" t="s">
        <v>2281</v>
      </c>
      <c r="E2294" s="2"/>
      <c r="F2294" t="s">
        <v>1403</v>
      </c>
      <c r="G2294" t="s">
        <v>177</v>
      </c>
      <c r="H2294" t="s">
        <v>177</v>
      </c>
      <c r="I2294"/>
    </row>
    <row r="2295" spans="1:9">
      <c r="A2295" t="s">
        <v>2203</v>
      </c>
      <c r="B2295" s="1" t="str">
        <f>"20835545.2"</f>
        <v>20835545.2</v>
      </c>
      <c r="C2295" t="s">
        <v>2154</v>
      </c>
      <c r="D2295" t="s">
        <v>2281</v>
      </c>
      <c r="E2295" s="2"/>
      <c r="F2295" t="s">
        <v>1403</v>
      </c>
      <c r="G2295" t="s">
        <v>177</v>
      </c>
      <c r="H2295" t="s">
        <v>218</v>
      </c>
      <c r="I2295"/>
    </row>
    <row r="2296" spans="1:9">
      <c r="A2296" t="s">
        <v>2203</v>
      </c>
      <c r="B2296" s="1" t="str">
        <f>"12009425"</f>
        <v>12009425</v>
      </c>
      <c r="C2296" t="s">
        <v>2154</v>
      </c>
      <c r="D2296" t="s">
        <v>2282</v>
      </c>
      <c r="E2296" s="2"/>
      <c r="F2296" t="s">
        <v>52</v>
      </c>
      <c r="G2296" t="s">
        <v>82</v>
      </c>
      <c r="H2296" t="s">
        <v>218</v>
      </c>
      <c r="I2296"/>
    </row>
    <row r="2297" spans="1:9">
      <c r="A2297" t="s">
        <v>2203</v>
      </c>
      <c r="B2297" s="1" t="str">
        <f>"20089054"</f>
        <v>20089054</v>
      </c>
      <c r="C2297" t="s">
        <v>2154</v>
      </c>
      <c r="D2297" t="s">
        <v>2283</v>
      </c>
      <c r="E2297" s="2"/>
      <c r="F2297"/>
      <c r="G2297" t="s">
        <v>243</v>
      </c>
      <c r="H2297" t="s">
        <v>243</v>
      </c>
      <c r="I2297"/>
    </row>
    <row r="2298" spans="1:9">
      <c r="A2298" t="s">
        <v>2203</v>
      </c>
      <c r="B2298" s="1" t="str">
        <f>"20089054.2"</f>
        <v>20089054.2</v>
      </c>
      <c r="C2298" t="s">
        <v>2154</v>
      </c>
      <c r="D2298" t="s">
        <v>2283</v>
      </c>
      <c r="E2298" s="2"/>
      <c r="F2298"/>
      <c r="G2298" t="s">
        <v>243</v>
      </c>
      <c r="H2298" t="s">
        <v>218</v>
      </c>
      <c r="I2298"/>
    </row>
    <row r="2299" spans="1:9">
      <c r="A2299" t="s">
        <v>2203</v>
      </c>
      <c r="B2299" s="1" t="str">
        <f>"20064984"</f>
        <v>20064984</v>
      </c>
      <c r="C2299" t="s">
        <v>2154</v>
      </c>
      <c r="D2299" t="s">
        <v>2217</v>
      </c>
      <c r="E2299" s="2"/>
      <c r="F2299"/>
      <c r="G2299" t="s">
        <v>177</v>
      </c>
      <c r="H2299" t="s">
        <v>177</v>
      </c>
      <c r="I2299"/>
    </row>
    <row r="2300" spans="1:9">
      <c r="A2300" t="s">
        <v>2203</v>
      </c>
      <c r="B2300" s="1" t="str">
        <f>"20064984.2"</f>
        <v>20064984.2</v>
      </c>
      <c r="C2300" t="s">
        <v>2154</v>
      </c>
      <c r="D2300" t="s">
        <v>2217</v>
      </c>
      <c r="E2300" s="2"/>
      <c r="F2300"/>
      <c r="G2300" t="s">
        <v>177</v>
      </c>
      <c r="H2300" t="s">
        <v>218</v>
      </c>
      <c r="I2300"/>
    </row>
    <row r="2301" spans="1:9">
      <c r="A2301" t="s">
        <v>2203</v>
      </c>
      <c r="B2301" s="1" t="str">
        <f>"20016639"</f>
        <v>20016639</v>
      </c>
      <c r="C2301" t="s">
        <v>2154</v>
      </c>
      <c r="D2301" t="s">
        <v>2284</v>
      </c>
      <c r="E2301" s="2"/>
      <c r="F2301" t="s">
        <v>2285</v>
      </c>
      <c r="G2301" t="s">
        <v>2286</v>
      </c>
      <c r="H2301" t="s">
        <v>2286</v>
      </c>
      <c r="I2301"/>
    </row>
    <row r="2302" spans="1:9">
      <c r="A2302" t="s">
        <v>2203</v>
      </c>
      <c r="B2302" s="1" t="str">
        <f>"20016639.2"</f>
        <v>20016639.2</v>
      </c>
      <c r="C2302" t="s">
        <v>2154</v>
      </c>
      <c r="D2302" t="s">
        <v>2284</v>
      </c>
      <c r="E2302" s="2"/>
      <c r="F2302" t="s">
        <v>2285</v>
      </c>
      <c r="G2302" t="s">
        <v>2286</v>
      </c>
      <c r="H2302" t="s">
        <v>517</v>
      </c>
      <c r="I2302"/>
    </row>
    <row r="2303" spans="1:9">
      <c r="A2303" t="s">
        <v>2203</v>
      </c>
      <c r="B2303" s="1" t="str">
        <f>"20064985"</f>
        <v>20064985</v>
      </c>
      <c r="C2303" t="s">
        <v>2154</v>
      </c>
      <c r="D2303" t="s">
        <v>2287</v>
      </c>
      <c r="E2303" s="2"/>
      <c r="F2303"/>
      <c r="G2303" t="s">
        <v>177</v>
      </c>
      <c r="H2303" t="s">
        <v>177</v>
      </c>
      <c r="I2303"/>
    </row>
    <row r="2304" spans="1:9">
      <c r="A2304" t="s">
        <v>2203</v>
      </c>
      <c r="B2304" s="1" t="str">
        <f>"20064985.2"</f>
        <v>20064985.2</v>
      </c>
      <c r="C2304" t="s">
        <v>2154</v>
      </c>
      <c r="D2304" t="s">
        <v>2287</v>
      </c>
      <c r="E2304" s="2"/>
      <c r="F2304"/>
      <c r="G2304" t="s">
        <v>177</v>
      </c>
      <c r="H2304" t="s">
        <v>218</v>
      </c>
      <c r="I2304"/>
    </row>
    <row r="2305" spans="1:9">
      <c r="A2305" t="s">
        <v>2203</v>
      </c>
      <c r="B2305" s="1" t="str">
        <f>"20095932"</f>
        <v>20095932</v>
      </c>
      <c r="C2305" t="s">
        <v>2154</v>
      </c>
      <c r="D2305" t="s">
        <v>2288</v>
      </c>
      <c r="E2305" s="2"/>
      <c r="F2305"/>
      <c r="G2305" t="s">
        <v>1165</v>
      </c>
      <c r="H2305" t="s">
        <v>1165</v>
      </c>
      <c r="I2305"/>
    </row>
    <row r="2306" spans="1:9">
      <c r="A2306" t="s">
        <v>2203</v>
      </c>
      <c r="B2306" s="1" t="str">
        <f>"20095932.2"</f>
        <v>20095932.2</v>
      </c>
      <c r="C2306" t="s">
        <v>2154</v>
      </c>
      <c r="D2306" t="s">
        <v>2288</v>
      </c>
      <c r="E2306" s="2"/>
      <c r="F2306"/>
      <c r="G2306" t="s">
        <v>1165</v>
      </c>
      <c r="H2306" t="s">
        <v>517</v>
      </c>
      <c r="I2306"/>
    </row>
    <row r="2307" spans="1:9">
      <c r="A2307" t="s">
        <v>2203</v>
      </c>
      <c r="B2307" s="1" t="str">
        <f>"20828967"</f>
        <v>20828967</v>
      </c>
      <c r="C2307" t="s">
        <v>1044</v>
      </c>
      <c r="D2307" t="s">
        <v>2289</v>
      </c>
      <c r="E2307" s="2"/>
      <c r="F2307" t="s">
        <v>27</v>
      </c>
      <c r="G2307" t="s">
        <v>370</v>
      </c>
      <c r="H2307" t="s">
        <v>370</v>
      </c>
      <c r="I2307"/>
    </row>
    <row r="2308" spans="1:9">
      <c r="A2308" t="s">
        <v>2203</v>
      </c>
      <c r="B2308" s="1" t="str">
        <f>"22597075"</f>
        <v>22597075</v>
      </c>
      <c r="C2308" t="s">
        <v>654</v>
      </c>
      <c r="D2308" t="s">
        <v>200</v>
      </c>
      <c r="E2308" s="2"/>
      <c r="F2308" t="s">
        <v>22</v>
      </c>
      <c r="G2308"/>
      <c r="H2308" t="s">
        <v>296</v>
      </c>
      <c r="I2308"/>
    </row>
    <row r="2309" spans="1:9">
      <c r="A2309" t="s">
        <v>2203</v>
      </c>
      <c r="B2309" s="1" t="str">
        <f>"22597075.2"</f>
        <v>22597075.2</v>
      </c>
      <c r="C2309" t="s">
        <v>654</v>
      </c>
      <c r="D2309" t="s">
        <v>200</v>
      </c>
      <c r="E2309" s="2"/>
      <c r="F2309" t="s">
        <v>22</v>
      </c>
      <c r="G2309"/>
      <c r="H2309" t="s">
        <v>517</v>
      </c>
      <c r="I2309"/>
    </row>
    <row r="2310" spans="1:9">
      <c r="A2310" t="s">
        <v>2203</v>
      </c>
      <c r="B2310" s="1" t="str">
        <f>"20017286"</f>
        <v>20017286</v>
      </c>
      <c r="C2310" t="s">
        <v>2290</v>
      </c>
      <c r="D2310" t="s">
        <v>2291</v>
      </c>
      <c r="E2310" s="2"/>
      <c r="F2310" t="s">
        <v>79</v>
      </c>
      <c r="G2310" t="s">
        <v>177</v>
      </c>
      <c r="H2310" t="s">
        <v>177</v>
      </c>
      <c r="I2310"/>
    </row>
    <row r="2311" spans="1:9">
      <c r="A2311" t="s">
        <v>2292</v>
      </c>
      <c r="B2311" s="1" t="str">
        <f>"12009201"</f>
        <v>12009201</v>
      </c>
      <c r="C2311" t="s">
        <v>260</v>
      </c>
      <c r="D2311" t="s">
        <v>2293</v>
      </c>
      <c r="E2311" s="2"/>
      <c r="F2311" t="s">
        <v>2294</v>
      </c>
      <c r="G2311" t="s">
        <v>571</v>
      </c>
      <c r="H2311" t="s">
        <v>517</v>
      </c>
      <c r="I2311"/>
    </row>
    <row r="2312" spans="1:9">
      <c r="A2312" t="s">
        <v>2292</v>
      </c>
      <c r="B2312" s="1" t="str">
        <f>"20017606"</f>
        <v>20017606</v>
      </c>
      <c r="C2312" t="s">
        <v>275</v>
      </c>
      <c r="D2312" t="s">
        <v>2295</v>
      </c>
      <c r="E2312" s="2"/>
      <c r="F2312"/>
      <c r="G2312" t="s">
        <v>982</v>
      </c>
      <c r="H2312" t="s">
        <v>982</v>
      </c>
      <c r="I2312"/>
    </row>
    <row r="2313" spans="1:9">
      <c r="A2313" t="s">
        <v>2292</v>
      </c>
      <c r="B2313" s="1" t="str">
        <f>"20017606.2"</f>
        <v>20017606.2</v>
      </c>
      <c r="C2313" t="s">
        <v>275</v>
      </c>
      <c r="D2313" t="s">
        <v>2295</v>
      </c>
      <c r="E2313" s="2"/>
      <c r="F2313"/>
      <c r="G2313" t="s">
        <v>982</v>
      </c>
      <c r="H2313" t="s">
        <v>218</v>
      </c>
      <c r="I2313"/>
    </row>
    <row r="2314" spans="1:9">
      <c r="A2314" t="s">
        <v>2292</v>
      </c>
      <c r="B2314" s="1" t="str">
        <f>"20017071"</f>
        <v>20017071</v>
      </c>
      <c r="C2314" t="s">
        <v>275</v>
      </c>
      <c r="D2314" t="s">
        <v>2296</v>
      </c>
      <c r="E2314" s="2"/>
      <c r="F2314"/>
      <c r="G2314" t="s">
        <v>982</v>
      </c>
      <c r="H2314" t="s">
        <v>982</v>
      </c>
      <c r="I2314"/>
    </row>
    <row r="2315" spans="1:9">
      <c r="A2315" t="s">
        <v>2292</v>
      </c>
      <c r="B2315" s="1" t="str">
        <f>"20017071.2"</f>
        <v>20017071.2</v>
      </c>
      <c r="C2315" t="s">
        <v>275</v>
      </c>
      <c r="D2315" t="s">
        <v>2296</v>
      </c>
      <c r="E2315" s="2"/>
      <c r="F2315"/>
      <c r="G2315" t="s">
        <v>982</v>
      </c>
      <c r="H2315" t="s">
        <v>218</v>
      </c>
      <c r="I2315"/>
    </row>
    <row r="2316" spans="1:9">
      <c r="A2316" t="s">
        <v>2292</v>
      </c>
      <c r="B2316" s="1" t="str">
        <f>"20016921"</f>
        <v>20016921</v>
      </c>
      <c r="C2316" t="s">
        <v>275</v>
      </c>
      <c r="D2316" t="s">
        <v>2297</v>
      </c>
      <c r="E2316" s="2"/>
      <c r="F2316"/>
      <c r="G2316" t="s">
        <v>232</v>
      </c>
      <c r="H2316" t="s">
        <v>232</v>
      </c>
      <c r="I2316"/>
    </row>
    <row r="2317" spans="1:9">
      <c r="A2317" t="s">
        <v>2292</v>
      </c>
      <c r="B2317" s="1" t="str">
        <f>"20016921.2"</f>
        <v>20016921.2</v>
      </c>
      <c r="C2317" t="s">
        <v>275</v>
      </c>
      <c r="D2317" t="s">
        <v>2297</v>
      </c>
      <c r="E2317" s="2"/>
      <c r="F2317"/>
      <c r="G2317" t="s">
        <v>232</v>
      </c>
      <c r="H2317" t="s">
        <v>218</v>
      </c>
      <c r="I2317"/>
    </row>
    <row r="2318" spans="1:9">
      <c r="A2318" t="s">
        <v>2292</v>
      </c>
      <c r="B2318" s="1" t="str">
        <f>"20251673"</f>
        <v>20251673</v>
      </c>
      <c r="C2318" t="s">
        <v>275</v>
      </c>
      <c r="D2318" t="s">
        <v>2298</v>
      </c>
      <c r="E2318" s="2"/>
      <c r="F2318"/>
      <c r="G2318" t="s">
        <v>533</v>
      </c>
      <c r="H2318" t="s">
        <v>533</v>
      </c>
      <c r="I2318"/>
    </row>
    <row r="2319" spans="1:9">
      <c r="A2319" t="s">
        <v>2292</v>
      </c>
      <c r="B2319" s="1" t="str">
        <f>"20251673.2"</f>
        <v>20251673.2</v>
      </c>
      <c r="C2319" t="s">
        <v>275</v>
      </c>
      <c r="D2319" t="s">
        <v>2298</v>
      </c>
      <c r="E2319" s="2"/>
      <c r="F2319"/>
      <c r="G2319" t="s">
        <v>533</v>
      </c>
      <c r="H2319" t="s">
        <v>517</v>
      </c>
      <c r="I2319"/>
    </row>
    <row r="2320" spans="1:9">
      <c r="A2320" t="s">
        <v>2292</v>
      </c>
      <c r="B2320" s="1" t="str">
        <f>"20251666"</f>
        <v>20251666</v>
      </c>
      <c r="C2320" t="s">
        <v>275</v>
      </c>
      <c r="D2320" t="s">
        <v>2299</v>
      </c>
      <c r="E2320" s="2"/>
      <c r="F2320"/>
      <c r="G2320" t="s">
        <v>13</v>
      </c>
      <c r="H2320" t="s">
        <v>13</v>
      </c>
      <c r="I2320"/>
    </row>
    <row r="2321" spans="1:9">
      <c r="A2321" t="s">
        <v>2292</v>
      </c>
      <c r="B2321" s="1" t="str">
        <f>"20834944"</f>
        <v>20834944</v>
      </c>
      <c r="C2321" t="s">
        <v>275</v>
      </c>
      <c r="D2321" t="s">
        <v>2300</v>
      </c>
      <c r="E2321" s="2"/>
      <c r="F2321"/>
      <c r="G2321" t="s">
        <v>80</v>
      </c>
      <c r="H2321" t="s">
        <v>80</v>
      </c>
      <c r="I2321"/>
    </row>
    <row r="2322" spans="1:9">
      <c r="A2322" t="s">
        <v>2292</v>
      </c>
      <c r="B2322" s="1" t="str">
        <f>"20834944.2"</f>
        <v>20834944.2</v>
      </c>
      <c r="C2322" t="s">
        <v>275</v>
      </c>
      <c r="D2322" t="s">
        <v>2300</v>
      </c>
      <c r="E2322" s="2"/>
      <c r="F2322"/>
      <c r="G2322" t="s">
        <v>80</v>
      </c>
      <c r="H2322" t="s">
        <v>218</v>
      </c>
      <c r="I2322"/>
    </row>
    <row r="2323" spans="1:9">
      <c r="A2323" t="s">
        <v>2292</v>
      </c>
      <c r="B2323" s="1" t="str">
        <f>"20108779"</f>
        <v>20108779</v>
      </c>
      <c r="C2323" t="s">
        <v>275</v>
      </c>
      <c r="D2323" t="s">
        <v>2301</v>
      </c>
      <c r="E2323" s="2"/>
      <c r="F2323"/>
      <c r="G2323" t="s">
        <v>982</v>
      </c>
      <c r="H2323" t="s">
        <v>982</v>
      </c>
      <c r="I2323"/>
    </row>
    <row r="2324" spans="1:9">
      <c r="A2324" t="s">
        <v>2292</v>
      </c>
      <c r="B2324" s="1" t="str">
        <f>"20108779.2"</f>
        <v>20108779.2</v>
      </c>
      <c r="C2324" t="s">
        <v>275</v>
      </c>
      <c r="D2324" t="s">
        <v>2301</v>
      </c>
      <c r="E2324" s="2"/>
      <c r="F2324"/>
      <c r="G2324" t="s">
        <v>982</v>
      </c>
      <c r="H2324" t="s">
        <v>218</v>
      </c>
      <c r="I2324"/>
    </row>
    <row r="2325" spans="1:9">
      <c r="A2325" t="s">
        <v>2292</v>
      </c>
      <c r="B2325" s="1" t="str">
        <f>"20016937"</f>
        <v>20016937</v>
      </c>
      <c r="C2325" t="s">
        <v>275</v>
      </c>
      <c r="D2325" t="s">
        <v>2302</v>
      </c>
      <c r="E2325" s="2"/>
      <c r="F2325"/>
      <c r="G2325" t="s">
        <v>82</v>
      </c>
      <c r="H2325" t="s">
        <v>82</v>
      </c>
      <c r="I2325"/>
    </row>
    <row r="2326" spans="1:9">
      <c r="A2326" t="s">
        <v>2292</v>
      </c>
      <c r="B2326" s="1" t="str">
        <f>"20016937.2"</f>
        <v>20016937.2</v>
      </c>
      <c r="C2326" t="s">
        <v>275</v>
      </c>
      <c r="D2326" t="s">
        <v>2302</v>
      </c>
      <c r="E2326" s="2"/>
      <c r="F2326"/>
      <c r="G2326" t="s">
        <v>82</v>
      </c>
      <c r="H2326" t="s">
        <v>218</v>
      </c>
      <c r="I2326"/>
    </row>
    <row r="2327" spans="1:9">
      <c r="A2327" t="s">
        <v>2292</v>
      </c>
      <c r="B2327" s="1" t="str">
        <f>"20019693"</f>
        <v>20019693</v>
      </c>
      <c r="C2327" t="s">
        <v>275</v>
      </c>
      <c r="D2327" t="s">
        <v>2303</v>
      </c>
      <c r="E2327" s="2"/>
      <c r="F2327"/>
      <c r="G2327" t="s">
        <v>982</v>
      </c>
      <c r="H2327" t="s">
        <v>982</v>
      </c>
      <c r="I2327"/>
    </row>
    <row r="2328" spans="1:9">
      <c r="A2328" t="s">
        <v>2292</v>
      </c>
      <c r="B2328" s="1" t="str">
        <f>"20019693.2"</f>
        <v>20019693.2</v>
      </c>
      <c r="C2328" t="s">
        <v>275</v>
      </c>
      <c r="D2328" t="s">
        <v>2303</v>
      </c>
      <c r="E2328" s="2"/>
      <c r="F2328"/>
      <c r="G2328" t="s">
        <v>982</v>
      </c>
      <c r="H2328" t="s">
        <v>218</v>
      </c>
      <c r="I2328"/>
    </row>
    <row r="2329" spans="1:9">
      <c r="A2329" t="s">
        <v>2292</v>
      </c>
      <c r="B2329" s="1" t="str">
        <f>"20017200"</f>
        <v>20017200</v>
      </c>
      <c r="C2329" t="s">
        <v>275</v>
      </c>
      <c r="D2329" t="s">
        <v>2304</v>
      </c>
      <c r="E2329" s="2"/>
      <c r="F2329"/>
      <c r="G2329" t="s">
        <v>148</v>
      </c>
      <c r="H2329" t="s">
        <v>148</v>
      </c>
      <c r="I2329"/>
    </row>
    <row r="2330" spans="1:9">
      <c r="A2330" t="s">
        <v>2292</v>
      </c>
      <c r="B2330" s="1" t="str">
        <f>"20017194"</f>
        <v>20017194</v>
      </c>
      <c r="C2330" t="s">
        <v>275</v>
      </c>
      <c r="D2330" t="s">
        <v>2305</v>
      </c>
      <c r="E2330" s="2"/>
      <c r="F2330"/>
      <c r="G2330" t="s">
        <v>80</v>
      </c>
      <c r="H2330" t="s">
        <v>80</v>
      </c>
      <c r="I2330"/>
    </row>
    <row r="2331" spans="1:9">
      <c r="A2331" t="s">
        <v>2292</v>
      </c>
      <c r="B2331" s="1" t="str">
        <f>"20104481"</f>
        <v>20104481</v>
      </c>
      <c r="C2331" t="s">
        <v>275</v>
      </c>
      <c r="D2331" t="s">
        <v>2306</v>
      </c>
      <c r="E2331" s="2"/>
      <c r="F2331"/>
      <c r="G2331" t="s">
        <v>148</v>
      </c>
      <c r="H2331" t="s">
        <v>148</v>
      </c>
      <c r="I2331"/>
    </row>
    <row r="2332" spans="1:9">
      <c r="A2332" t="s">
        <v>2292</v>
      </c>
      <c r="B2332" s="1" t="str">
        <f>"20052959"</f>
        <v>20052959</v>
      </c>
      <c r="C2332" t="s">
        <v>275</v>
      </c>
      <c r="D2332" t="s">
        <v>2307</v>
      </c>
      <c r="E2332" s="2"/>
      <c r="F2332"/>
      <c r="G2332" t="s">
        <v>13</v>
      </c>
      <c r="H2332" t="s">
        <v>13</v>
      </c>
      <c r="I2332"/>
    </row>
    <row r="2333" spans="1:9">
      <c r="A2333" t="s">
        <v>2292</v>
      </c>
      <c r="B2333" s="1" t="str">
        <f>"20052942"</f>
        <v>20052942</v>
      </c>
      <c r="C2333" t="s">
        <v>275</v>
      </c>
      <c r="D2333" t="s">
        <v>2308</v>
      </c>
      <c r="E2333" s="2"/>
      <c r="F2333"/>
      <c r="G2333" t="s">
        <v>148</v>
      </c>
      <c r="H2333" t="s">
        <v>148</v>
      </c>
      <c r="I2333"/>
    </row>
    <row r="2334" spans="1:9">
      <c r="A2334" t="s">
        <v>2292</v>
      </c>
      <c r="B2334" s="1" t="str">
        <f>"20024932"</f>
        <v>20024932</v>
      </c>
      <c r="C2334" t="s">
        <v>275</v>
      </c>
      <c r="D2334" t="s">
        <v>2309</v>
      </c>
      <c r="E2334" s="2"/>
      <c r="F2334"/>
      <c r="G2334" t="s">
        <v>80</v>
      </c>
      <c r="H2334" t="s">
        <v>80</v>
      </c>
      <c r="I2334"/>
    </row>
    <row r="2335" spans="1:9">
      <c r="A2335" t="s">
        <v>2292</v>
      </c>
      <c r="B2335" s="1" t="str">
        <f>"20087210"</f>
        <v>20087210</v>
      </c>
      <c r="C2335" t="s">
        <v>275</v>
      </c>
      <c r="D2335" t="s">
        <v>2310</v>
      </c>
      <c r="E2335" s="2"/>
      <c r="F2335"/>
      <c r="G2335" t="s">
        <v>80</v>
      </c>
      <c r="H2335" t="s">
        <v>80</v>
      </c>
      <c r="I2335"/>
    </row>
    <row r="2336" spans="1:9">
      <c r="A2336" t="s">
        <v>2292</v>
      </c>
      <c r="B2336" s="1" t="str">
        <f>"20087234"</f>
        <v>20087234</v>
      </c>
      <c r="C2336" t="s">
        <v>275</v>
      </c>
      <c r="D2336" t="s">
        <v>2311</v>
      </c>
      <c r="E2336" s="2"/>
      <c r="F2336"/>
      <c r="G2336" t="s">
        <v>80</v>
      </c>
      <c r="H2336" t="s">
        <v>80</v>
      </c>
      <c r="I2336"/>
    </row>
    <row r="2337" spans="1:9">
      <c r="A2337" t="s">
        <v>2292</v>
      </c>
      <c r="B2337" s="1" t="str">
        <f>"20087234.2"</f>
        <v>20087234.2</v>
      </c>
      <c r="C2337" t="s">
        <v>275</v>
      </c>
      <c r="D2337" t="s">
        <v>2311</v>
      </c>
      <c r="E2337" s="2"/>
      <c r="F2337"/>
      <c r="G2337" t="s">
        <v>80</v>
      </c>
      <c r="H2337" t="s">
        <v>218</v>
      </c>
      <c r="I2337"/>
    </row>
    <row r="2338" spans="1:9">
      <c r="A2338" t="s">
        <v>2292</v>
      </c>
      <c r="B2338" s="1" t="str">
        <f>"21505522"</f>
        <v>21505522</v>
      </c>
      <c r="C2338" t="s">
        <v>275</v>
      </c>
      <c r="D2338" t="s">
        <v>2312</v>
      </c>
      <c r="E2338" s="2"/>
      <c r="F2338" t="s">
        <v>1302</v>
      </c>
      <c r="G2338" t="s">
        <v>227</v>
      </c>
      <c r="H2338" t="s">
        <v>227</v>
      </c>
      <c r="I2338"/>
    </row>
    <row r="2339" spans="1:9">
      <c r="A2339" t="s">
        <v>2292</v>
      </c>
      <c r="B2339" s="1" t="str">
        <f>"21505522.2"</f>
        <v>21505522.2</v>
      </c>
      <c r="C2339" t="s">
        <v>275</v>
      </c>
      <c r="D2339" t="s">
        <v>2312</v>
      </c>
      <c r="E2339" s="2"/>
      <c r="F2339" t="s">
        <v>1302</v>
      </c>
      <c r="G2339" t="s">
        <v>227</v>
      </c>
      <c r="H2339" t="s">
        <v>218</v>
      </c>
      <c r="I2339"/>
    </row>
    <row r="2340" spans="1:9">
      <c r="A2340" t="s">
        <v>2292</v>
      </c>
      <c r="B2340" s="1" t="str">
        <f>"20017613"</f>
        <v>20017613</v>
      </c>
      <c r="C2340" t="s">
        <v>275</v>
      </c>
      <c r="D2340" t="s">
        <v>2313</v>
      </c>
      <c r="E2340" s="2"/>
      <c r="F2340"/>
      <c r="G2340" t="s">
        <v>13</v>
      </c>
      <c r="H2340" t="s">
        <v>13</v>
      </c>
      <c r="I2340"/>
    </row>
    <row r="2341" spans="1:9">
      <c r="A2341" t="s">
        <v>2292</v>
      </c>
      <c r="B2341" s="1" t="str">
        <f>"20017613.2"</f>
        <v>20017613.2</v>
      </c>
      <c r="C2341" t="s">
        <v>275</v>
      </c>
      <c r="D2341" t="s">
        <v>2313</v>
      </c>
      <c r="E2341" s="2"/>
      <c r="F2341"/>
      <c r="G2341" t="s">
        <v>13</v>
      </c>
      <c r="H2341" t="s">
        <v>218</v>
      </c>
      <c r="I2341"/>
    </row>
    <row r="2342" spans="1:9">
      <c r="A2342" t="s">
        <v>2292</v>
      </c>
      <c r="B2342" s="1" t="str">
        <f>"20834951"</f>
        <v>20834951</v>
      </c>
      <c r="C2342" t="s">
        <v>275</v>
      </c>
      <c r="D2342" t="s">
        <v>2314</v>
      </c>
      <c r="E2342" s="2"/>
      <c r="F2342"/>
      <c r="G2342" t="s">
        <v>80</v>
      </c>
      <c r="H2342" t="s">
        <v>80</v>
      </c>
      <c r="I2342"/>
    </row>
    <row r="2343" spans="1:9">
      <c r="A2343" t="s">
        <v>2292</v>
      </c>
      <c r="B2343" s="1" t="str">
        <f>"20834951.2"</f>
        <v>20834951.2</v>
      </c>
      <c r="C2343" t="s">
        <v>275</v>
      </c>
      <c r="D2343" t="s">
        <v>2314</v>
      </c>
      <c r="E2343" s="2"/>
      <c r="F2343"/>
      <c r="G2343" t="s">
        <v>80</v>
      </c>
      <c r="H2343" t="s">
        <v>218</v>
      </c>
      <c r="I2343"/>
    </row>
    <row r="2344" spans="1:9">
      <c r="A2344" t="s">
        <v>2292</v>
      </c>
      <c r="B2344" s="1" t="str">
        <f>"20169879"</f>
        <v>20169879</v>
      </c>
      <c r="C2344" t="s">
        <v>275</v>
      </c>
      <c r="D2344" t="s">
        <v>2315</v>
      </c>
      <c r="E2344" s="2"/>
      <c r="F2344"/>
      <c r="G2344" t="s">
        <v>13</v>
      </c>
      <c r="H2344" t="s">
        <v>13</v>
      </c>
      <c r="I2344"/>
    </row>
    <row r="2345" spans="1:9">
      <c r="A2345" t="s">
        <v>2292</v>
      </c>
      <c r="B2345" s="1" t="str">
        <f>"20169862"</f>
        <v>20169862</v>
      </c>
      <c r="C2345" t="s">
        <v>275</v>
      </c>
      <c r="D2345" t="s">
        <v>2316</v>
      </c>
      <c r="E2345" s="2"/>
      <c r="F2345"/>
      <c r="G2345" t="s">
        <v>13</v>
      </c>
      <c r="H2345" t="s">
        <v>13</v>
      </c>
      <c r="I2345"/>
    </row>
    <row r="2346" spans="1:9">
      <c r="A2346" t="s">
        <v>2292</v>
      </c>
      <c r="B2346" s="1" t="str">
        <f>"20017651"</f>
        <v>20017651</v>
      </c>
      <c r="C2346" t="s">
        <v>275</v>
      </c>
      <c r="D2346" t="s">
        <v>2317</v>
      </c>
      <c r="E2346" s="2"/>
      <c r="F2346"/>
      <c r="G2346" t="s">
        <v>82</v>
      </c>
      <c r="H2346" t="s">
        <v>1310</v>
      </c>
      <c r="I2346"/>
    </row>
    <row r="2347" spans="1:9">
      <c r="A2347" t="s">
        <v>2292</v>
      </c>
      <c r="B2347" s="1" t="str">
        <f>"20877163"</f>
        <v>20877163</v>
      </c>
      <c r="C2347" t="s">
        <v>275</v>
      </c>
      <c r="D2347" t="s">
        <v>2318</v>
      </c>
      <c r="E2347" s="2"/>
      <c r="F2347"/>
      <c r="G2347" t="s">
        <v>1312</v>
      </c>
      <c r="H2347" t="s">
        <v>1312</v>
      </c>
      <c r="I2347"/>
    </row>
    <row r="2348" spans="1:9">
      <c r="A2348" t="s">
        <v>2292</v>
      </c>
      <c r="B2348" s="1" t="str">
        <f>"20017750"</f>
        <v>20017750</v>
      </c>
      <c r="C2348" t="s">
        <v>275</v>
      </c>
      <c r="D2348" t="s">
        <v>2319</v>
      </c>
      <c r="E2348" s="2"/>
      <c r="F2348"/>
      <c r="G2348" t="s">
        <v>80</v>
      </c>
      <c r="H2348" t="s">
        <v>80</v>
      </c>
      <c r="I2348"/>
    </row>
    <row r="2349" spans="1:9">
      <c r="A2349" t="s">
        <v>2292</v>
      </c>
      <c r="B2349" s="1" t="str">
        <f>"20017743"</f>
        <v>20017743</v>
      </c>
      <c r="C2349" t="s">
        <v>275</v>
      </c>
      <c r="D2349" t="s">
        <v>2320</v>
      </c>
      <c r="E2349" s="2"/>
      <c r="F2349"/>
      <c r="G2349" t="s">
        <v>982</v>
      </c>
      <c r="H2349" t="s">
        <v>982</v>
      </c>
      <c r="I2349"/>
    </row>
    <row r="2350" spans="1:9">
      <c r="A2350" t="s">
        <v>2292</v>
      </c>
      <c r="B2350" s="1" t="str">
        <f>"20017736"</f>
        <v>20017736</v>
      </c>
      <c r="C2350" t="s">
        <v>275</v>
      </c>
      <c r="D2350" t="s">
        <v>2321</v>
      </c>
      <c r="E2350" s="2"/>
      <c r="F2350"/>
      <c r="G2350" t="s">
        <v>1312</v>
      </c>
      <c r="H2350" t="s">
        <v>1312</v>
      </c>
      <c r="I2350"/>
    </row>
    <row r="2351" spans="1:9">
      <c r="A2351" t="s">
        <v>2292</v>
      </c>
      <c r="B2351" s="1" t="str">
        <f>"20016760"</f>
        <v>20016760</v>
      </c>
      <c r="C2351" t="s">
        <v>275</v>
      </c>
      <c r="D2351" t="s">
        <v>2322</v>
      </c>
      <c r="E2351" s="2"/>
      <c r="F2351"/>
      <c r="G2351" t="s">
        <v>982</v>
      </c>
      <c r="H2351" t="s">
        <v>982</v>
      </c>
      <c r="I2351"/>
    </row>
    <row r="2352" spans="1:9">
      <c r="A2352" t="s">
        <v>2292</v>
      </c>
      <c r="B2352" s="1" t="str">
        <f>"20016760.2"</f>
        <v>20016760.2</v>
      </c>
      <c r="C2352" t="s">
        <v>275</v>
      </c>
      <c r="D2352" t="s">
        <v>2322</v>
      </c>
      <c r="E2352" s="2"/>
      <c r="F2352"/>
      <c r="G2352" t="s">
        <v>982</v>
      </c>
      <c r="H2352" t="s">
        <v>218</v>
      </c>
      <c r="I2352"/>
    </row>
    <row r="2353" spans="1:9">
      <c r="A2353" t="s">
        <v>2292</v>
      </c>
      <c r="B2353" s="1" t="str">
        <f>"20016920"</f>
        <v>20016920</v>
      </c>
      <c r="C2353" t="s">
        <v>275</v>
      </c>
      <c r="D2353" t="s">
        <v>2323</v>
      </c>
      <c r="E2353" s="2"/>
      <c r="F2353"/>
      <c r="G2353" t="s">
        <v>232</v>
      </c>
      <c r="H2353" t="s">
        <v>232</v>
      </c>
      <c r="I2353"/>
    </row>
    <row r="2354" spans="1:9">
      <c r="A2354" t="s">
        <v>2292</v>
      </c>
      <c r="B2354" s="1" t="str">
        <f>"20017422"</f>
        <v>20017422</v>
      </c>
      <c r="C2354" t="s">
        <v>275</v>
      </c>
      <c r="D2354" t="s">
        <v>2324</v>
      </c>
      <c r="E2354" s="2"/>
      <c r="F2354"/>
      <c r="G2354" t="s">
        <v>322</v>
      </c>
      <c r="H2354" t="s">
        <v>322</v>
      </c>
      <c r="I2354"/>
    </row>
    <row r="2355" spans="1:9">
      <c r="A2355" t="s">
        <v>2292</v>
      </c>
      <c r="B2355" s="1" t="str">
        <f>"20017422.2"</f>
        <v>20017422.2</v>
      </c>
      <c r="C2355" t="s">
        <v>275</v>
      </c>
      <c r="D2355" t="s">
        <v>2324</v>
      </c>
      <c r="E2355" s="2"/>
      <c r="F2355"/>
      <c r="G2355" t="s">
        <v>322</v>
      </c>
      <c r="H2355" t="s">
        <v>218</v>
      </c>
      <c r="I2355"/>
    </row>
    <row r="2356" spans="1:9">
      <c r="A2356" t="s">
        <v>2292</v>
      </c>
      <c r="B2356" s="1" t="str">
        <f>"20017439"</f>
        <v>20017439</v>
      </c>
      <c r="C2356" t="s">
        <v>275</v>
      </c>
      <c r="D2356" t="s">
        <v>2325</v>
      </c>
      <c r="E2356" s="2"/>
      <c r="F2356"/>
      <c r="G2356" t="s">
        <v>322</v>
      </c>
      <c r="H2356" t="s">
        <v>322</v>
      </c>
      <c r="I2356"/>
    </row>
    <row r="2357" spans="1:9">
      <c r="A2357" t="s">
        <v>2292</v>
      </c>
      <c r="B2357" s="1" t="str">
        <f>"20017439.2"</f>
        <v>20017439.2</v>
      </c>
      <c r="C2357" t="s">
        <v>275</v>
      </c>
      <c r="D2357" t="s">
        <v>2325</v>
      </c>
      <c r="E2357" s="2"/>
      <c r="F2357"/>
      <c r="G2357" t="s">
        <v>322</v>
      </c>
      <c r="H2357" t="s">
        <v>218</v>
      </c>
      <c r="I2357"/>
    </row>
    <row r="2358" spans="1:9">
      <c r="A2358" t="s">
        <v>2292</v>
      </c>
      <c r="B2358" s="1" t="str">
        <f>"20017446"</f>
        <v>20017446</v>
      </c>
      <c r="C2358" t="s">
        <v>275</v>
      </c>
      <c r="D2358" t="s">
        <v>2326</v>
      </c>
      <c r="E2358" s="2"/>
      <c r="F2358"/>
      <c r="G2358" t="s">
        <v>322</v>
      </c>
      <c r="H2358" t="s">
        <v>322</v>
      </c>
      <c r="I2358"/>
    </row>
    <row r="2359" spans="1:9">
      <c r="A2359" t="s">
        <v>2292</v>
      </c>
      <c r="B2359" s="1" t="str">
        <f>"20017446.2"</f>
        <v>20017446.2</v>
      </c>
      <c r="C2359" t="s">
        <v>275</v>
      </c>
      <c r="D2359" t="s">
        <v>2326</v>
      </c>
      <c r="E2359" s="2"/>
      <c r="F2359"/>
      <c r="G2359" t="s">
        <v>322</v>
      </c>
      <c r="H2359" t="s">
        <v>218</v>
      </c>
      <c r="I2359"/>
    </row>
    <row r="2360" spans="1:9">
      <c r="A2360" t="s">
        <v>2292</v>
      </c>
      <c r="B2360" s="1" t="str">
        <f>"20017774"</f>
        <v>20017774</v>
      </c>
      <c r="C2360" t="s">
        <v>275</v>
      </c>
      <c r="D2360" t="s">
        <v>2327</v>
      </c>
      <c r="E2360" s="2"/>
      <c r="F2360"/>
      <c r="G2360" t="s">
        <v>58</v>
      </c>
      <c r="H2360" t="s">
        <v>58</v>
      </c>
      <c r="I2360"/>
    </row>
    <row r="2361" spans="1:9">
      <c r="A2361" t="s">
        <v>2292</v>
      </c>
      <c r="B2361" s="1" t="str">
        <f>"20017835"</f>
        <v>20017835</v>
      </c>
      <c r="C2361" t="s">
        <v>275</v>
      </c>
      <c r="D2361" t="s">
        <v>2328</v>
      </c>
      <c r="E2361" s="2"/>
      <c r="F2361"/>
      <c r="G2361" t="s">
        <v>299</v>
      </c>
      <c r="H2361" t="s">
        <v>299</v>
      </c>
      <c r="I2361"/>
    </row>
    <row r="2362" spans="1:9">
      <c r="A2362" t="s">
        <v>2292</v>
      </c>
      <c r="B2362" s="1" t="str">
        <f>"20017835.2"</f>
        <v>20017835.2</v>
      </c>
      <c r="C2362" t="s">
        <v>275</v>
      </c>
      <c r="D2362" t="s">
        <v>2328</v>
      </c>
      <c r="E2362" s="2"/>
      <c r="F2362"/>
      <c r="G2362" t="s">
        <v>299</v>
      </c>
      <c r="H2362" t="s">
        <v>218</v>
      </c>
      <c r="I2362"/>
    </row>
    <row r="2363" spans="1:9">
      <c r="A2363" t="s">
        <v>2292</v>
      </c>
      <c r="B2363" s="1" t="str">
        <f>"20016185"</f>
        <v>20016185</v>
      </c>
      <c r="C2363" t="s">
        <v>225</v>
      </c>
      <c r="D2363" t="s">
        <v>2329</v>
      </c>
      <c r="E2363" s="2"/>
      <c r="F2363"/>
      <c r="G2363" t="s">
        <v>232</v>
      </c>
      <c r="H2363" t="s">
        <v>232</v>
      </c>
      <c r="I2363"/>
    </row>
    <row r="2364" spans="1:9">
      <c r="A2364" t="s">
        <v>2292</v>
      </c>
      <c r="B2364" s="1" t="str">
        <f>"20187095"</f>
        <v>20187095</v>
      </c>
      <c r="C2364" t="s">
        <v>225</v>
      </c>
      <c r="D2364" t="s">
        <v>2330</v>
      </c>
      <c r="E2364" s="2"/>
      <c r="F2364"/>
      <c r="G2364" t="s">
        <v>1310</v>
      </c>
      <c r="H2364" t="s">
        <v>1310</v>
      </c>
      <c r="I2364"/>
    </row>
    <row r="2365" spans="1:9">
      <c r="A2365" t="s">
        <v>2292</v>
      </c>
      <c r="B2365" s="1" t="str">
        <f>"20826055"</f>
        <v>20826055</v>
      </c>
      <c r="C2365" t="s">
        <v>2154</v>
      </c>
      <c r="D2365" t="s">
        <v>2331</v>
      </c>
      <c r="E2365" s="2"/>
      <c r="F2365"/>
      <c r="G2365" t="s">
        <v>2249</v>
      </c>
      <c r="H2365" t="s">
        <v>2249</v>
      </c>
      <c r="I2365"/>
    </row>
    <row r="2366" spans="1:9">
      <c r="A2366" t="s">
        <v>2292</v>
      </c>
      <c r="B2366" s="1" t="str">
        <f>"20826055.2"</f>
        <v>20826055.2</v>
      </c>
      <c r="C2366" t="s">
        <v>2154</v>
      </c>
      <c r="D2366" t="s">
        <v>2331</v>
      </c>
      <c r="E2366" s="2"/>
      <c r="F2366"/>
      <c r="G2366" t="s">
        <v>2249</v>
      </c>
      <c r="H2366" t="s">
        <v>218</v>
      </c>
      <c r="I2366"/>
    </row>
    <row r="2367" spans="1:9">
      <c r="A2367" t="s">
        <v>2292</v>
      </c>
      <c r="B2367" s="1" t="str">
        <f>"20826062"</f>
        <v>20826062</v>
      </c>
      <c r="C2367" t="s">
        <v>2154</v>
      </c>
      <c r="D2367" t="s">
        <v>2332</v>
      </c>
      <c r="E2367" s="2"/>
      <c r="F2367"/>
      <c r="G2367" t="s">
        <v>2249</v>
      </c>
      <c r="H2367" t="s">
        <v>2249</v>
      </c>
      <c r="I2367"/>
    </row>
    <row r="2368" spans="1:9">
      <c r="A2368" t="s">
        <v>2292</v>
      </c>
      <c r="B2368" s="1" t="str">
        <f>"20826062.2"</f>
        <v>20826062.2</v>
      </c>
      <c r="C2368" t="s">
        <v>2154</v>
      </c>
      <c r="D2368" t="s">
        <v>2332</v>
      </c>
      <c r="E2368" s="2"/>
      <c r="F2368"/>
      <c r="G2368" t="s">
        <v>2249</v>
      </c>
      <c r="H2368" t="s">
        <v>218</v>
      </c>
      <c r="I2368"/>
    </row>
    <row r="2369" spans="1:9">
      <c r="A2369" t="s">
        <v>2292</v>
      </c>
      <c r="B2369" s="1" t="str">
        <f>"20013523"</f>
        <v>20013523</v>
      </c>
      <c r="C2369" t="s">
        <v>2154</v>
      </c>
      <c r="D2369" t="s">
        <v>2333</v>
      </c>
      <c r="E2369" s="2"/>
      <c r="F2369" t="s">
        <v>2334</v>
      </c>
      <c r="G2369" t="s">
        <v>322</v>
      </c>
      <c r="H2369" t="s">
        <v>322</v>
      </c>
      <c r="I2369"/>
    </row>
    <row r="2370" spans="1:9">
      <c r="A2370" t="s">
        <v>2292</v>
      </c>
      <c r="B2370" s="1" t="str">
        <f>"20013523.2"</f>
        <v>20013523.2</v>
      </c>
      <c r="C2370" t="s">
        <v>2154</v>
      </c>
      <c r="D2370" t="s">
        <v>2333</v>
      </c>
      <c r="E2370" s="2"/>
      <c r="F2370" t="s">
        <v>2334</v>
      </c>
      <c r="G2370" t="s">
        <v>322</v>
      </c>
      <c r="H2370" t="s">
        <v>218</v>
      </c>
      <c r="I2370"/>
    </row>
    <row r="2371" spans="1:9">
      <c r="A2371" t="s">
        <v>2292</v>
      </c>
      <c r="B2371" s="1" t="str">
        <f>"20013516"</f>
        <v>20013516</v>
      </c>
      <c r="C2371" t="s">
        <v>2154</v>
      </c>
      <c r="D2371" t="s">
        <v>2335</v>
      </c>
      <c r="E2371" s="2"/>
      <c r="F2371"/>
      <c r="G2371" t="s">
        <v>322</v>
      </c>
      <c r="H2371" t="s">
        <v>322</v>
      </c>
      <c r="I2371"/>
    </row>
    <row r="2372" spans="1:9">
      <c r="A2372" t="s">
        <v>2292</v>
      </c>
      <c r="B2372" s="1" t="str">
        <f>"20013516.2"</f>
        <v>20013516.2</v>
      </c>
      <c r="C2372" t="s">
        <v>2154</v>
      </c>
      <c r="D2372" t="s">
        <v>2335</v>
      </c>
      <c r="E2372" s="2"/>
      <c r="F2372"/>
      <c r="G2372" t="s">
        <v>322</v>
      </c>
      <c r="H2372" t="s">
        <v>218</v>
      </c>
      <c r="I2372"/>
    </row>
    <row r="2373" spans="1:9">
      <c r="A2373" t="s">
        <v>2292</v>
      </c>
      <c r="B2373" s="1" t="str">
        <f>"20016643"</f>
        <v>20016643</v>
      </c>
      <c r="C2373" t="s">
        <v>2154</v>
      </c>
      <c r="D2373" t="s">
        <v>2336</v>
      </c>
      <c r="E2373" s="2"/>
      <c r="F2373" t="s">
        <v>1302</v>
      </c>
      <c r="G2373" t="s">
        <v>232</v>
      </c>
      <c r="H2373" t="s">
        <v>232</v>
      </c>
      <c r="I2373"/>
    </row>
    <row r="2374" spans="1:9">
      <c r="A2374" t="s">
        <v>2292</v>
      </c>
      <c r="B2374" s="1" t="str">
        <f>"20016643.2"</f>
        <v>20016643.2</v>
      </c>
      <c r="C2374" t="s">
        <v>2154</v>
      </c>
      <c r="D2374" t="s">
        <v>2336</v>
      </c>
      <c r="E2374" s="2"/>
      <c r="F2374" t="s">
        <v>1302</v>
      </c>
      <c r="G2374" t="s">
        <v>232</v>
      </c>
      <c r="H2374" t="s">
        <v>218</v>
      </c>
      <c r="I2374"/>
    </row>
    <row r="2375" spans="1:9">
      <c r="A2375" t="s">
        <v>2292</v>
      </c>
      <c r="B2375" s="1" t="str">
        <f>"20016642"</f>
        <v>20016642</v>
      </c>
      <c r="C2375" t="s">
        <v>2154</v>
      </c>
      <c r="D2375" t="s">
        <v>2337</v>
      </c>
      <c r="E2375" s="2"/>
      <c r="F2375" t="s">
        <v>877</v>
      </c>
      <c r="G2375" t="s">
        <v>243</v>
      </c>
      <c r="H2375" t="s">
        <v>243</v>
      </c>
      <c r="I2375"/>
    </row>
    <row r="2376" spans="1:9">
      <c r="A2376" t="s">
        <v>2292</v>
      </c>
      <c r="B2376" s="1" t="str">
        <f>"20016642.2"</f>
        <v>20016642.2</v>
      </c>
      <c r="C2376" t="s">
        <v>2154</v>
      </c>
      <c r="D2376" t="s">
        <v>2337</v>
      </c>
      <c r="E2376" s="2"/>
      <c r="F2376" t="s">
        <v>877</v>
      </c>
      <c r="G2376" t="s">
        <v>243</v>
      </c>
      <c r="H2376" t="s">
        <v>218</v>
      </c>
      <c r="I2376"/>
    </row>
    <row r="2377" spans="1:9">
      <c r="A2377" t="s">
        <v>2292</v>
      </c>
      <c r="B2377" s="1" t="str">
        <f>"20016644"</f>
        <v>20016644</v>
      </c>
      <c r="C2377" t="s">
        <v>2154</v>
      </c>
      <c r="D2377" t="s">
        <v>2338</v>
      </c>
      <c r="E2377" s="2"/>
      <c r="F2377"/>
      <c r="G2377" t="s">
        <v>232</v>
      </c>
      <c r="H2377" t="s">
        <v>232</v>
      </c>
      <c r="I2377"/>
    </row>
    <row r="2378" spans="1:9">
      <c r="A2378" t="s">
        <v>2292</v>
      </c>
      <c r="B2378" s="1" t="str">
        <f>"20016644.2"</f>
        <v>20016644.2</v>
      </c>
      <c r="C2378" t="s">
        <v>2154</v>
      </c>
      <c r="D2378" t="s">
        <v>2338</v>
      </c>
      <c r="E2378" s="2"/>
      <c r="F2378"/>
      <c r="G2378" t="s">
        <v>232</v>
      </c>
      <c r="H2378" t="s">
        <v>218</v>
      </c>
      <c r="I2378"/>
    </row>
    <row r="2379" spans="1:9">
      <c r="A2379" t="s">
        <v>2292</v>
      </c>
      <c r="B2379" s="1" t="str">
        <f>"20073855"</f>
        <v>20073855</v>
      </c>
      <c r="C2379" t="s">
        <v>2154</v>
      </c>
      <c r="D2379" t="s">
        <v>2339</v>
      </c>
      <c r="E2379" s="2"/>
      <c r="F2379"/>
      <c r="G2379" t="s">
        <v>243</v>
      </c>
      <c r="H2379" t="s">
        <v>243</v>
      </c>
      <c r="I2379"/>
    </row>
    <row r="2380" spans="1:9">
      <c r="A2380" t="s">
        <v>2292</v>
      </c>
      <c r="B2380" s="1" t="str">
        <f>"20073855.2"</f>
        <v>20073855.2</v>
      </c>
      <c r="C2380" t="s">
        <v>2154</v>
      </c>
      <c r="D2380" t="s">
        <v>2339</v>
      </c>
      <c r="E2380" s="2"/>
      <c r="F2380"/>
      <c r="G2380" t="s">
        <v>243</v>
      </c>
      <c r="H2380" t="s">
        <v>218</v>
      </c>
      <c r="I2380"/>
    </row>
    <row r="2381" spans="1:9">
      <c r="A2381" t="s">
        <v>2292</v>
      </c>
      <c r="B2381" s="1" t="str">
        <f>"20826048"</f>
        <v>20826048</v>
      </c>
      <c r="C2381" t="s">
        <v>2154</v>
      </c>
      <c r="D2381" t="s">
        <v>2340</v>
      </c>
      <c r="E2381" s="2"/>
      <c r="F2381"/>
      <c r="G2381" t="s">
        <v>2341</v>
      </c>
      <c r="H2381" t="s">
        <v>2341</v>
      </c>
      <c r="I2381"/>
    </row>
    <row r="2382" spans="1:9">
      <c r="A2382" t="s">
        <v>2292</v>
      </c>
      <c r="B2382" s="1" t="str">
        <f>"20826048.2"</f>
        <v>20826048.2</v>
      </c>
      <c r="C2382" t="s">
        <v>2154</v>
      </c>
      <c r="D2382" t="s">
        <v>2340</v>
      </c>
      <c r="E2382" s="2"/>
      <c r="F2382"/>
      <c r="G2382" t="s">
        <v>2341</v>
      </c>
      <c r="H2382" t="s">
        <v>218</v>
      </c>
      <c r="I2382"/>
    </row>
    <row r="2383" spans="1:9">
      <c r="A2383" t="s">
        <v>2342</v>
      </c>
      <c r="B2383" s="1" t="str">
        <f>"20506858"</f>
        <v>20506858</v>
      </c>
      <c r="C2383" t="s">
        <v>260</v>
      </c>
      <c r="D2383" t="s">
        <v>2343</v>
      </c>
      <c r="E2383" s="2"/>
      <c r="F2383" t="s">
        <v>22</v>
      </c>
      <c r="G2383" t="s">
        <v>80</v>
      </c>
      <c r="H2383" t="s">
        <v>80</v>
      </c>
      <c r="I2383"/>
    </row>
    <row r="2384" spans="1:9">
      <c r="A2384" t="s">
        <v>2342</v>
      </c>
      <c r="B2384" s="1" t="str">
        <f>"20506858.2"</f>
        <v>20506858.2</v>
      </c>
      <c r="C2384" t="s">
        <v>260</v>
      </c>
      <c r="D2384" t="s">
        <v>2343</v>
      </c>
      <c r="E2384" s="2"/>
      <c r="F2384" t="s">
        <v>22</v>
      </c>
      <c r="G2384" t="s">
        <v>80</v>
      </c>
      <c r="H2384" t="s">
        <v>218</v>
      </c>
      <c r="I2384"/>
    </row>
    <row r="2385" spans="1:9">
      <c r="A2385" t="s">
        <v>2342</v>
      </c>
      <c r="B2385" s="1" t="str">
        <f>"20298319"</f>
        <v>20298319</v>
      </c>
      <c r="C2385" t="s">
        <v>260</v>
      </c>
      <c r="D2385" t="s">
        <v>2344</v>
      </c>
      <c r="E2385" s="2"/>
      <c r="F2385" t="s">
        <v>52</v>
      </c>
      <c r="G2385" t="s">
        <v>82</v>
      </c>
      <c r="H2385" t="s">
        <v>82</v>
      </c>
      <c r="I2385"/>
    </row>
    <row r="2386" spans="1:9">
      <c r="A2386" t="s">
        <v>2342</v>
      </c>
      <c r="B2386" s="1" t="str">
        <f>"20298319.2"</f>
        <v>20298319.2</v>
      </c>
      <c r="C2386" t="s">
        <v>260</v>
      </c>
      <c r="D2386" t="s">
        <v>2344</v>
      </c>
      <c r="E2386" s="2"/>
      <c r="F2386" t="s">
        <v>52</v>
      </c>
      <c r="G2386" t="s">
        <v>82</v>
      </c>
      <c r="H2386" t="s">
        <v>218</v>
      </c>
      <c r="I2386"/>
    </row>
    <row r="2387" spans="1:9">
      <c r="A2387" t="s">
        <v>2342</v>
      </c>
      <c r="B2387" s="1" t="str">
        <f>"20702003"</f>
        <v>20702003</v>
      </c>
      <c r="C2387" t="s">
        <v>207</v>
      </c>
      <c r="D2387" t="s">
        <v>2345</v>
      </c>
      <c r="E2387" s="2"/>
      <c r="F2387" t="s">
        <v>2346</v>
      </c>
      <c r="G2387" t="s">
        <v>337</v>
      </c>
      <c r="H2387" t="s">
        <v>337</v>
      </c>
      <c r="I2387"/>
    </row>
    <row r="2388" spans="1:9">
      <c r="A2388" t="s">
        <v>2342</v>
      </c>
      <c r="B2388" s="1" t="str">
        <f>"20702004"</f>
        <v>20702004</v>
      </c>
      <c r="C2388" t="s">
        <v>207</v>
      </c>
      <c r="D2388" t="s">
        <v>2347</v>
      </c>
      <c r="E2388" s="2"/>
      <c r="F2388" t="s">
        <v>63</v>
      </c>
      <c r="G2388" t="s">
        <v>262</v>
      </c>
      <c r="H2388" t="s">
        <v>262</v>
      </c>
      <c r="I2388"/>
    </row>
    <row r="2389" spans="1:9">
      <c r="A2389" t="s">
        <v>2342</v>
      </c>
      <c r="B2389" s="1" t="str">
        <f>"20702001"</f>
        <v>20702001</v>
      </c>
      <c r="C2389" t="s">
        <v>207</v>
      </c>
      <c r="D2389" t="s">
        <v>2348</v>
      </c>
      <c r="E2389" s="2"/>
      <c r="F2389" t="s">
        <v>547</v>
      </c>
      <c r="G2389" t="s">
        <v>37</v>
      </c>
      <c r="H2389" t="s">
        <v>37</v>
      </c>
      <c r="I2389"/>
    </row>
    <row r="2390" spans="1:9">
      <c r="A2390" t="s">
        <v>2342</v>
      </c>
      <c r="B2390" s="1" t="str">
        <f>"20702002"</f>
        <v>20702002</v>
      </c>
      <c r="C2390" t="s">
        <v>207</v>
      </c>
      <c r="D2390" t="s">
        <v>2349</v>
      </c>
      <c r="E2390" s="2"/>
      <c r="F2390" t="s">
        <v>2350</v>
      </c>
      <c r="G2390" t="s">
        <v>80</v>
      </c>
      <c r="H2390" t="s">
        <v>80</v>
      </c>
      <c r="I2390"/>
    </row>
    <row r="2391" spans="1:9">
      <c r="A2391" t="s">
        <v>2342</v>
      </c>
      <c r="B2391" s="1" t="str">
        <f>"20702006"</f>
        <v>20702006</v>
      </c>
      <c r="C2391" t="s">
        <v>207</v>
      </c>
      <c r="D2391" t="s">
        <v>2351</v>
      </c>
      <c r="E2391" s="2"/>
      <c r="F2391" t="s">
        <v>90</v>
      </c>
      <c r="G2391" t="s">
        <v>25</v>
      </c>
      <c r="H2391" t="s">
        <v>25</v>
      </c>
      <c r="I2391"/>
    </row>
    <row r="2392" spans="1:9">
      <c r="A2392" t="s">
        <v>2342</v>
      </c>
      <c r="B2392" s="1" t="str">
        <f>"20702005"</f>
        <v>20702005</v>
      </c>
      <c r="C2392" t="s">
        <v>207</v>
      </c>
      <c r="D2392" t="s">
        <v>2352</v>
      </c>
      <c r="E2392" s="2"/>
      <c r="F2392" t="s">
        <v>63</v>
      </c>
      <c r="G2392" t="s">
        <v>262</v>
      </c>
      <c r="H2392" t="s">
        <v>262</v>
      </c>
      <c r="I2392"/>
    </row>
    <row r="2393" spans="1:9">
      <c r="A2393" t="s">
        <v>2342</v>
      </c>
      <c r="B2393" s="1" t="str">
        <f>"20063481"</f>
        <v>20063481</v>
      </c>
      <c r="C2393" t="s">
        <v>275</v>
      </c>
      <c r="D2393" t="s">
        <v>2353</v>
      </c>
      <c r="E2393" s="2"/>
      <c r="F2393" t="s">
        <v>22</v>
      </c>
      <c r="G2393" t="s">
        <v>607</v>
      </c>
      <c r="H2393" t="s">
        <v>607</v>
      </c>
      <c r="I2393"/>
    </row>
    <row r="2394" spans="1:9">
      <c r="A2394" t="s">
        <v>2342</v>
      </c>
      <c r="B2394" s="1" t="str">
        <f>"20063481.2"</f>
        <v>20063481.2</v>
      </c>
      <c r="C2394" t="s">
        <v>275</v>
      </c>
      <c r="D2394" t="s">
        <v>2353</v>
      </c>
      <c r="E2394" s="2"/>
      <c r="F2394" t="s">
        <v>22</v>
      </c>
      <c r="G2394" t="s">
        <v>607</v>
      </c>
      <c r="H2394" t="s">
        <v>218</v>
      </c>
      <c r="I2394"/>
    </row>
    <row r="2395" spans="1:9">
      <c r="A2395" t="s">
        <v>2342</v>
      </c>
      <c r="B2395" s="1" t="str">
        <f>"20540753"</f>
        <v>20540753</v>
      </c>
      <c r="C2395" t="s">
        <v>225</v>
      </c>
      <c r="D2395" t="s">
        <v>2354</v>
      </c>
      <c r="E2395" s="2"/>
      <c r="F2395" t="s">
        <v>52</v>
      </c>
      <c r="G2395" t="s">
        <v>978</v>
      </c>
      <c r="H2395" t="s">
        <v>978</v>
      </c>
      <c r="I2395"/>
    </row>
    <row r="2396" spans="1:9">
      <c r="A2396" t="s">
        <v>2342</v>
      </c>
      <c r="B2396" s="1" t="str">
        <f>"20068464"</f>
        <v>20068464</v>
      </c>
      <c r="C2396" t="s">
        <v>225</v>
      </c>
      <c r="D2396" t="s">
        <v>2355</v>
      </c>
      <c r="E2396" s="2"/>
      <c r="F2396" t="s">
        <v>1461</v>
      </c>
      <c r="G2396" t="s">
        <v>374</v>
      </c>
      <c r="H2396" t="s">
        <v>374</v>
      </c>
      <c r="I2396"/>
    </row>
    <row r="2397" spans="1:9">
      <c r="A2397" t="s">
        <v>2342</v>
      </c>
      <c r="B2397" s="1" t="str">
        <f>"24469410"</f>
        <v>24469410</v>
      </c>
      <c r="C2397" t="s">
        <v>225</v>
      </c>
      <c r="D2397" t="s">
        <v>2356</v>
      </c>
      <c r="E2397" s="2"/>
      <c r="F2397"/>
      <c r="G2397" t="s">
        <v>657</v>
      </c>
      <c r="H2397" t="s">
        <v>657</v>
      </c>
      <c r="I2397"/>
    </row>
    <row r="2398" spans="1:9">
      <c r="A2398" t="s">
        <v>2342</v>
      </c>
      <c r="B2398" s="1" t="str">
        <f>"20033927"</f>
        <v>20033927</v>
      </c>
      <c r="C2398" t="s">
        <v>2357</v>
      </c>
      <c r="D2398" t="s">
        <v>2358</v>
      </c>
      <c r="E2398" s="2"/>
      <c r="F2398" t="s">
        <v>52</v>
      </c>
      <c r="G2398" t="s">
        <v>82</v>
      </c>
      <c r="H2398" t="s">
        <v>82</v>
      </c>
      <c r="I2398"/>
    </row>
    <row r="2399" spans="1:9">
      <c r="A2399" t="s">
        <v>2342</v>
      </c>
      <c r="B2399" s="1" t="str">
        <f>"20033927.2"</f>
        <v>20033927.2</v>
      </c>
      <c r="C2399" t="s">
        <v>2357</v>
      </c>
      <c r="D2399" t="s">
        <v>2358</v>
      </c>
      <c r="E2399" s="2"/>
      <c r="F2399" t="s">
        <v>52</v>
      </c>
      <c r="G2399" t="s">
        <v>82</v>
      </c>
      <c r="H2399" t="s">
        <v>218</v>
      </c>
      <c r="I2399"/>
    </row>
    <row r="2400" spans="1:9">
      <c r="A2400" t="s">
        <v>2342</v>
      </c>
      <c r="B2400" s="1" t="str">
        <f>"20010867"</f>
        <v>20010867</v>
      </c>
      <c r="C2400" t="s">
        <v>1883</v>
      </c>
      <c r="D2400" t="s">
        <v>2359</v>
      </c>
      <c r="E2400" s="2"/>
      <c r="F2400" t="s">
        <v>2346</v>
      </c>
      <c r="G2400" t="s">
        <v>25</v>
      </c>
      <c r="H2400" t="s">
        <v>25</v>
      </c>
      <c r="I2400"/>
    </row>
    <row r="2401" spans="1:9">
      <c r="A2401" t="s">
        <v>2342</v>
      </c>
      <c r="B2401" s="1" t="str">
        <f>"20013448"</f>
        <v>20013448</v>
      </c>
      <c r="C2401" t="s">
        <v>1883</v>
      </c>
      <c r="D2401" t="s">
        <v>2360</v>
      </c>
      <c r="E2401" s="2"/>
      <c r="F2401"/>
      <c r="G2401" t="s">
        <v>19</v>
      </c>
      <c r="H2401" t="s">
        <v>19</v>
      </c>
      <c r="I2401"/>
    </row>
    <row r="2402" spans="1:9">
      <c r="A2402" t="s">
        <v>2342</v>
      </c>
      <c r="B2402" s="1" t="str">
        <f>"20013448.2"</f>
        <v>20013448.2</v>
      </c>
      <c r="C2402" t="s">
        <v>1883</v>
      </c>
      <c r="D2402" t="s">
        <v>2360</v>
      </c>
      <c r="E2402" s="2"/>
      <c r="F2402"/>
      <c r="G2402" t="s">
        <v>19</v>
      </c>
      <c r="H2402" t="s">
        <v>218</v>
      </c>
      <c r="I2402"/>
    </row>
    <row r="2403" spans="1:9">
      <c r="A2403" t="s">
        <v>2342</v>
      </c>
      <c r="B2403" s="1" t="str">
        <f>"20043674"</f>
        <v>20043674</v>
      </c>
      <c r="C2403" t="s">
        <v>1883</v>
      </c>
      <c r="D2403" t="s">
        <v>2361</v>
      </c>
      <c r="E2403" s="2"/>
      <c r="F2403"/>
      <c r="G2403" t="s">
        <v>80</v>
      </c>
      <c r="H2403" t="s">
        <v>80</v>
      </c>
      <c r="I2403"/>
    </row>
    <row r="2404" spans="1:9">
      <c r="A2404" t="s">
        <v>2342</v>
      </c>
      <c r="B2404" s="1" t="str">
        <f>"20043674.2"</f>
        <v>20043674.2</v>
      </c>
      <c r="C2404" t="s">
        <v>1883</v>
      </c>
      <c r="D2404" t="s">
        <v>2361</v>
      </c>
      <c r="E2404" s="2"/>
      <c r="F2404"/>
      <c r="G2404" t="s">
        <v>80</v>
      </c>
      <c r="H2404" t="s">
        <v>218</v>
      </c>
      <c r="I2404"/>
    </row>
    <row r="2405" spans="1:9">
      <c r="A2405" t="s">
        <v>2342</v>
      </c>
      <c r="B2405" s="1" t="str">
        <f>"20506865"</f>
        <v>20506865</v>
      </c>
      <c r="C2405" t="s">
        <v>2362</v>
      </c>
      <c r="D2405" t="s">
        <v>2363</v>
      </c>
      <c r="E2405" s="2"/>
      <c r="F2405" t="s">
        <v>22</v>
      </c>
      <c r="G2405" t="s">
        <v>80</v>
      </c>
      <c r="H2405" t="s">
        <v>80</v>
      </c>
      <c r="I2405"/>
    </row>
    <row r="2406" spans="1:9">
      <c r="A2406" t="s">
        <v>2342</v>
      </c>
      <c r="B2406" s="1" t="str">
        <f>"20506865.2"</f>
        <v>20506865.2</v>
      </c>
      <c r="C2406" t="s">
        <v>2362</v>
      </c>
      <c r="D2406" t="s">
        <v>2363</v>
      </c>
      <c r="E2406" s="2"/>
      <c r="F2406" t="s">
        <v>22</v>
      </c>
      <c r="G2406" t="s">
        <v>80</v>
      </c>
      <c r="H2406" t="s">
        <v>218</v>
      </c>
      <c r="I2406"/>
    </row>
    <row r="2407" spans="1:9">
      <c r="A2407" t="s">
        <v>2342</v>
      </c>
      <c r="B2407" s="1" t="str">
        <f>"20033972"</f>
        <v>20033972</v>
      </c>
      <c r="C2407" t="s">
        <v>2362</v>
      </c>
      <c r="D2407" t="s">
        <v>2364</v>
      </c>
      <c r="E2407" s="2"/>
      <c r="F2407" t="s">
        <v>52</v>
      </c>
      <c r="G2407" t="s">
        <v>82</v>
      </c>
      <c r="H2407" t="s">
        <v>82</v>
      </c>
      <c r="I2407"/>
    </row>
    <row r="2408" spans="1:9">
      <c r="A2408" t="s">
        <v>2342</v>
      </c>
      <c r="B2408" s="1" t="str">
        <f>"20033972.2"</f>
        <v>20033972.2</v>
      </c>
      <c r="C2408" t="s">
        <v>2362</v>
      </c>
      <c r="D2408" t="s">
        <v>2364</v>
      </c>
      <c r="E2408" s="2"/>
      <c r="F2408" t="s">
        <v>52</v>
      </c>
      <c r="G2408" t="s">
        <v>82</v>
      </c>
      <c r="H2408" t="s">
        <v>218</v>
      </c>
      <c r="I2408"/>
    </row>
    <row r="2409" spans="1:9">
      <c r="A2409" t="s">
        <v>2342</v>
      </c>
      <c r="B2409" s="1" t="str">
        <f>"20506926"</f>
        <v>20506926</v>
      </c>
      <c r="C2409" t="s">
        <v>2362</v>
      </c>
      <c r="D2409" t="s">
        <v>2365</v>
      </c>
      <c r="E2409" s="2"/>
      <c r="F2409" t="s">
        <v>22</v>
      </c>
      <c r="G2409" t="s">
        <v>80</v>
      </c>
      <c r="H2409" t="s">
        <v>80</v>
      </c>
      <c r="I2409"/>
    </row>
    <row r="2410" spans="1:9">
      <c r="A2410" t="s">
        <v>2342</v>
      </c>
      <c r="B2410" s="1" t="str">
        <f>"20506926.2"</f>
        <v>20506926.2</v>
      </c>
      <c r="C2410" t="s">
        <v>2362</v>
      </c>
      <c r="D2410" t="s">
        <v>2365</v>
      </c>
      <c r="E2410" s="2"/>
      <c r="F2410" t="s">
        <v>22</v>
      </c>
      <c r="G2410" t="s">
        <v>80</v>
      </c>
      <c r="H2410" t="s">
        <v>218</v>
      </c>
      <c r="I2410"/>
    </row>
    <row r="2411" spans="1:9">
      <c r="A2411" t="s">
        <v>2342</v>
      </c>
      <c r="B2411" s="1" t="str">
        <f>"20033842"</f>
        <v>20033842</v>
      </c>
      <c r="C2411" t="s">
        <v>2362</v>
      </c>
      <c r="D2411" t="s">
        <v>2366</v>
      </c>
      <c r="E2411" s="2"/>
      <c r="F2411" t="s">
        <v>90</v>
      </c>
      <c r="G2411" t="s">
        <v>232</v>
      </c>
      <c r="H2411" t="s">
        <v>232</v>
      </c>
      <c r="I2411"/>
    </row>
    <row r="2412" spans="1:9">
      <c r="A2412" t="s">
        <v>2342</v>
      </c>
      <c r="B2412" s="1" t="str">
        <f>"20033842.2"</f>
        <v>20033842.2</v>
      </c>
      <c r="C2412" t="s">
        <v>2362</v>
      </c>
      <c r="D2412" t="s">
        <v>2366</v>
      </c>
      <c r="E2412" s="2"/>
      <c r="F2412" t="s">
        <v>90</v>
      </c>
      <c r="G2412" t="s">
        <v>232</v>
      </c>
      <c r="H2412" t="s">
        <v>218</v>
      </c>
      <c r="I2412"/>
    </row>
    <row r="2413" spans="1:9">
      <c r="A2413" t="s">
        <v>2342</v>
      </c>
      <c r="B2413" s="1" t="str">
        <f>"20033941"</f>
        <v>20033941</v>
      </c>
      <c r="C2413" t="s">
        <v>2362</v>
      </c>
      <c r="D2413" t="s">
        <v>2367</v>
      </c>
      <c r="E2413" s="2"/>
      <c r="F2413" t="s">
        <v>22</v>
      </c>
      <c r="G2413" t="s">
        <v>80</v>
      </c>
      <c r="H2413" t="s">
        <v>80</v>
      </c>
      <c r="I2413"/>
    </row>
    <row r="2414" spans="1:9">
      <c r="A2414" t="s">
        <v>2342</v>
      </c>
      <c r="B2414" s="1" t="str">
        <f>"20033989"</f>
        <v>20033989</v>
      </c>
      <c r="C2414" t="s">
        <v>2362</v>
      </c>
      <c r="D2414" t="s">
        <v>2368</v>
      </c>
      <c r="E2414" s="2"/>
      <c r="F2414" t="s">
        <v>90</v>
      </c>
      <c r="G2414" t="s">
        <v>82</v>
      </c>
      <c r="H2414" t="s">
        <v>82</v>
      </c>
      <c r="I2414"/>
    </row>
    <row r="2415" spans="1:9">
      <c r="A2415" t="s">
        <v>2342</v>
      </c>
      <c r="B2415" s="1" t="str">
        <f>"20033989.2"</f>
        <v>20033989.2</v>
      </c>
      <c r="C2415" t="s">
        <v>2362</v>
      </c>
      <c r="D2415" t="s">
        <v>2368</v>
      </c>
      <c r="E2415" s="2"/>
      <c r="F2415" t="s">
        <v>90</v>
      </c>
      <c r="G2415" t="s">
        <v>82</v>
      </c>
      <c r="H2415" t="s">
        <v>218</v>
      </c>
      <c r="I2415"/>
    </row>
    <row r="2416" spans="1:9">
      <c r="A2416" t="s">
        <v>2342</v>
      </c>
      <c r="B2416" s="1" t="str">
        <f>"20033880"</f>
        <v>20033880</v>
      </c>
      <c r="C2416" t="s">
        <v>2362</v>
      </c>
      <c r="D2416" t="s">
        <v>2369</v>
      </c>
      <c r="E2416" s="2"/>
      <c r="F2416" t="s">
        <v>22</v>
      </c>
      <c r="G2416" t="s">
        <v>322</v>
      </c>
      <c r="H2416" t="s">
        <v>322</v>
      </c>
      <c r="I2416"/>
    </row>
    <row r="2417" spans="1:9">
      <c r="A2417" t="s">
        <v>2342</v>
      </c>
      <c r="B2417" s="1" t="str">
        <f>"20033880.2"</f>
        <v>20033880.2</v>
      </c>
      <c r="C2417" t="s">
        <v>2362</v>
      </c>
      <c r="D2417" t="s">
        <v>2369</v>
      </c>
      <c r="E2417" s="2"/>
      <c r="F2417" t="s">
        <v>22</v>
      </c>
      <c r="G2417" t="s">
        <v>322</v>
      </c>
      <c r="H2417" t="s">
        <v>218</v>
      </c>
      <c r="I2417"/>
    </row>
    <row r="2418" spans="1:9">
      <c r="A2418" t="s">
        <v>2342</v>
      </c>
      <c r="B2418" s="1" t="str">
        <f>"20071363"</f>
        <v>20071363</v>
      </c>
      <c r="C2418" t="s">
        <v>2362</v>
      </c>
      <c r="D2418" t="s">
        <v>2370</v>
      </c>
      <c r="E2418" s="2"/>
      <c r="F2418" t="s">
        <v>22</v>
      </c>
      <c r="G2418" t="s">
        <v>322</v>
      </c>
      <c r="H2418" t="s">
        <v>322</v>
      </c>
      <c r="I2418"/>
    </row>
    <row r="2419" spans="1:9">
      <c r="A2419" t="s">
        <v>2342</v>
      </c>
      <c r="B2419" s="1" t="str">
        <f>"20071363.2"</f>
        <v>20071363.2</v>
      </c>
      <c r="C2419" t="s">
        <v>2362</v>
      </c>
      <c r="D2419" t="s">
        <v>2370</v>
      </c>
      <c r="E2419" s="2"/>
      <c r="F2419" t="s">
        <v>22</v>
      </c>
      <c r="G2419" t="s">
        <v>322</v>
      </c>
      <c r="H2419" t="s">
        <v>218</v>
      </c>
      <c r="I2419"/>
    </row>
    <row r="2420" spans="1:9">
      <c r="A2420" t="s">
        <v>2342</v>
      </c>
      <c r="B2420" s="1" t="str">
        <f>"20283865"</f>
        <v>20283865</v>
      </c>
      <c r="C2420" t="s">
        <v>1044</v>
      </c>
      <c r="D2420" t="s">
        <v>2371</v>
      </c>
      <c r="E2420" s="2"/>
      <c r="F2420" t="s">
        <v>2346</v>
      </c>
      <c r="G2420" t="s">
        <v>370</v>
      </c>
      <c r="H2420" t="s">
        <v>370</v>
      </c>
      <c r="I2420"/>
    </row>
    <row r="2421" spans="1:9">
      <c r="A2421" t="s">
        <v>2342</v>
      </c>
      <c r="B2421" s="1" t="str">
        <f>"20033903"</f>
        <v>20033903</v>
      </c>
      <c r="C2421" t="s">
        <v>2372</v>
      </c>
      <c r="D2421" t="s">
        <v>2373</v>
      </c>
      <c r="E2421" s="2"/>
      <c r="F2421" t="s">
        <v>22</v>
      </c>
      <c r="G2421" t="s">
        <v>80</v>
      </c>
      <c r="H2421" t="s">
        <v>80</v>
      </c>
      <c r="I2421"/>
    </row>
    <row r="2422" spans="1:9">
      <c r="A2422" t="s">
        <v>2342</v>
      </c>
      <c r="B2422" s="1" t="str">
        <f>"20033903.2"</f>
        <v>20033903.2</v>
      </c>
      <c r="C2422" t="s">
        <v>2372</v>
      </c>
      <c r="D2422" t="s">
        <v>2373</v>
      </c>
      <c r="E2422" s="2"/>
      <c r="F2422" t="s">
        <v>22</v>
      </c>
      <c r="G2422" t="s">
        <v>80</v>
      </c>
      <c r="H2422" t="s">
        <v>218</v>
      </c>
      <c r="I2422"/>
    </row>
    <row r="2423" spans="1:9">
      <c r="A2423" t="s">
        <v>2342</v>
      </c>
      <c r="B2423" s="1" t="str">
        <f>"20033866"</f>
        <v>20033866</v>
      </c>
      <c r="C2423" t="s">
        <v>2372</v>
      </c>
      <c r="D2423" t="s">
        <v>2374</v>
      </c>
      <c r="E2423" s="2"/>
      <c r="F2423" t="s">
        <v>90</v>
      </c>
      <c r="G2423" t="s">
        <v>19</v>
      </c>
      <c r="H2423" t="s">
        <v>19</v>
      </c>
      <c r="I2423"/>
    </row>
    <row r="2424" spans="1:9">
      <c r="A2424" t="s">
        <v>2342</v>
      </c>
      <c r="B2424" s="1" t="str">
        <f>"20033866.2"</f>
        <v>20033866.2</v>
      </c>
      <c r="C2424" t="s">
        <v>2372</v>
      </c>
      <c r="D2424" t="s">
        <v>2374</v>
      </c>
      <c r="E2424" s="2"/>
      <c r="F2424" t="s">
        <v>90</v>
      </c>
      <c r="G2424" t="s">
        <v>19</v>
      </c>
      <c r="H2424" t="s">
        <v>218</v>
      </c>
      <c r="I2424"/>
    </row>
    <row r="2425" spans="1:9">
      <c r="A2425" t="s">
        <v>2375</v>
      </c>
      <c r="B2425" s="1" t="str">
        <f>"20062132"</f>
        <v>20062132</v>
      </c>
      <c r="C2425" t="s">
        <v>260</v>
      </c>
      <c r="D2425" t="s">
        <v>2376</v>
      </c>
      <c r="E2425" s="2"/>
      <c r="F2425" t="s">
        <v>52</v>
      </c>
      <c r="G2425" t="s">
        <v>978</v>
      </c>
      <c r="H2425" t="s">
        <v>978</v>
      </c>
      <c r="I2425"/>
    </row>
    <row r="2426" spans="1:9">
      <c r="A2426" t="s">
        <v>2375</v>
      </c>
      <c r="B2426" s="1" t="str">
        <f>"20062132.2"</f>
        <v>20062132.2</v>
      </c>
      <c r="C2426" t="s">
        <v>260</v>
      </c>
      <c r="D2426" t="s">
        <v>2376</v>
      </c>
      <c r="E2426" s="2"/>
      <c r="F2426" t="s">
        <v>52</v>
      </c>
      <c r="G2426" t="s">
        <v>978</v>
      </c>
      <c r="H2426" t="s">
        <v>52</v>
      </c>
      <c r="I2426"/>
    </row>
    <row r="2427" spans="1:9">
      <c r="A2427" t="s">
        <v>2375</v>
      </c>
      <c r="B2427" s="1" t="str">
        <f>"20182202"</f>
        <v>20182202</v>
      </c>
      <c r="C2427" t="s">
        <v>10</v>
      </c>
      <c r="D2427" t="s">
        <v>2377</v>
      </c>
      <c r="E2427" s="2"/>
      <c r="F2427" t="s">
        <v>22</v>
      </c>
      <c r="G2427" t="s">
        <v>19</v>
      </c>
      <c r="H2427" t="s">
        <v>19</v>
      </c>
      <c r="I2427"/>
    </row>
    <row r="2428" spans="1:9">
      <c r="A2428" t="s">
        <v>2375</v>
      </c>
      <c r="B2428" s="1" t="str">
        <f>"20086602"</f>
        <v>20086602</v>
      </c>
      <c r="C2428" t="s">
        <v>2378</v>
      </c>
      <c r="D2428" t="s">
        <v>2379</v>
      </c>
      <c r="E2428" s="2"/>
      <c r="F2428" t="s">
        <v>22</v>
      </c>
      <c r="G2428" t="s">
        <v>227</v>
      </c>
      <c r="H2428" t="s">
        <v>227</v>
      </c>
      <c r="I2428"/>
    </row>
    <row r="2429" spans="1:9">
      <c r="A2429" t="s">
        <v>2375</v>
      </c>
      <c r="B2429" s="1" t="str">
        <f>"20086602.2"</f>
        <v>20086602.2</v>
      </c>
      <c r="C2429" t="s">
        <v>2378</v>
      </c>
      <c r="D2429" t="s">
        <v>2379</v>
      </c>
      <c r="E2429" s="2"/>
      <c r="F2429" t="s">
        <v>22</v>
      </c>
      <c r="G2429" t="s">
        <v>227</v>
      </c>
      <c r="H2429" t="s">
        <v>218</v>
      </c>
      <c r="I2429"/>
    </row>
    <row r="2430" spans="1:9">
      <c r="A2430" t="s">
        <v>2375</v>
      </c>
      <c r="B2430" s="1" t="str">
        <f>"20034122"</f>
        <v>20034122</v>
      </c>
      <c r="C2430" t="s">
        <v>2378</v>
      </c>
      <c r="D2430" t="s">
        <v>2380</v>
      </c>
      <c r="E2430" s="2"/>
      <c r="F2430" t="s">
        <v>22</v>
      </c>
      <c r="G2430" t="s">
        <v>156</v>
      </c>
      <c r="H2430" t="s">
        <v>156</v>
      </c>
      <c r="I2430"/>
    </row>
    <row r="2431" spans="1:9">
      <c r="A2431" t="s">
        <v>2375</v>
      </c>
      <c r="B2431" s="1" t="str">
        <f>"20034122.2"</f>
        <v>20034122.2</v>
      </c>
      <c r="C2431" t="s">
        <v>2378</v>
      </c>
      <c r="D2431" t="s">
        <v>2380</v>
      </c>
      <c r="E2431" s="2"/>
      <c r="F2431" t="s">
        <v>22</v>
      </c>
      <c r="G2431" t="s">
        <v>156</v>
      </c>
      <c r="H2431" t="s">
        <v>383</v>
      </c>
      <c r="I2431"/>
    </row>
    <row r="2432" spans="1:9">
      <c r="A2432" t="s">
        <v>2375</v>
      </c>
      <c r="B2432" s="1" t="str">
        <f>"20646653"</f>
        <v>20646653</v>
      </c>
      <c r="C2432" t="s">
        <v>2378</v>
      </c>
      <c r="D2432" t="s">
        <v>2381</v>
      </c>
      <c r="E2432" s="2"/>
      <c r="F2432" t="s">
        <v>783</v>
      </c>
      <c r="G2432" t="s">
        <v>1059</v>
      </c>
      <c r="H2432" t="s">
        <v>1059</v>
      </c>
      <c r="I2432"/>
    </row>
    <row r="2433" spans="1:9">
      <c r="A2433" t="s">
        <v>2375</v>
      </c>
      <c r="B2433" s="1" t="str">
        <f>"20646653.2"</f>
        <v>20646653.2</v>
      </c>
      <c r="C2433" t="s">
        <v>2378</v>
      </c>
      <c r="D2433" t="s">
        <v>2381</v>
      </c>
      <c r="E2433" s="2"/>
      <c r="F2433" t="s">
        <v>783</v>
      </c>
      <c r="G2433" t="s">
        <v>1059</v>
      </c>
      <c r="H2433" t="s">
        <v>383</v>
      </c>
      <c r="I2433"/>
    </row>
    <row r="2434" spans="1:9">
      <c r="A2434" t="s">
        <v>2375</v>
      </c>
      <c r="B2434" s="1" t="str">
        <f>"20063245"</f>
        <v>20063245</v>
      </c>
      <c r="C2434" t="s">
        <v>2378</v>
      </c>
      <c r="D2434" t="s">
        <v>2382</v>
      </c>
      <c r="E2434" s="2"/>
      <c r="F2434" t="s">
        <v>22</v>
      </c>
      <c r="G2434" t="s">
        <v>227</v>
      </c>
      <c r="H2434" t="s">
        <v>227</v>
      </c>
      <c r="I2434"/>
    </row>
    <row r="2435" spans="1:9">
      <c r="A2435" t="s">
        <v>2375</v>
      </c>
      <c r="B2435" s="1" t="str">
        <f>"20063245.2"</f>
        <v>20063245.2</v>
      </c>
      <c r="C2435" t="s">
        <v>2378</v>
      </c>
      <c r="D2435" t="s">
        <v>2382</v>
      </c>
      <c r="E2435" s="2"/>
      <c r="F2435" t="s">
        <v>22</v>
      </c>
      <c r="G2435" t="s">
        <v>227</v>
      </c>
      <c r="H2435" t="s">
        <v>218</v>
      </c>
      <c r="I2435"/>
    </row>
    <row r="2436" spans="1:9">
      <c r="A2436" t="s">
        <v>2375</v>
      </c>
      <c r="B2436" s="1" t="str">
        <f>"20181895"</f>
        <v>20181895</v>
      </c>
      <c r="C2436" t="s">
        <v>225</v>
      </c>
      <c r="D2436" t="s">
        <v>2383</v>
      </c>
      <c r="E2436" s="2"/>
      <c r="F2436" t="s">
        <v>22</v>
      </c>
      <c r="G2436" t="s">
        <v>227</v>
      </c>
      <c r="H2436" t="s">
        <v>227</v>
      </c>
      <c r="I2436"/>
    </row>
    <row r="2437" spans="1:9">
      <c r="A2437" t="s">
        <v>2375</v>
      </c>
      <c r="B2437" s="1" t="str">
        <f>"20062157"</f>
        <v>20062157</v>
      </c>
      <c r="C2437" t="s">
        <v>225</v>
      </c>
      <c r="D2437" t="s">
        <v>2384</v>
      </c>
      <c r="E2437" s="2"/>
      <c r="F2437" t="s">
        <v>140</v>
      </c>
      <c r="G2437" t="s">
        <v>82</v>
      </c>
      <c r="H2437" t="s">
        <v>82</v>
      </c>
      <c r="I2437"/>
    </row>
    <row r="2438" spans="1:9">
      <c r="A2438" t="s">
        <v>2375</v>
      </c>
      <c r="B2438" s="1" t="str">
        <f>"20062156"</f>
        <v>20062156</v>
      </c>
      <c r="C2438" t="s">
        <v>225</v>
      </c>
      <c r="D2438" t="s">
        <v>2385</v>
      </c>
      <c r="E2438" s="2"/>
      <c r="F2438" t="s">
        <v>22</v>
      </c>
      <c r="G2438" t="s">
        <v>227</v>
      </c>
      <c r="H2438" t="s">
        <v>227</v>
      </c>
      <c r="I2438"/>
    </row>
    <row r="2439" spans="1:9">
      <c r="A2439" t="s">
        <v>2375</v>
      </c>
      <c r="B2439" s="1" t="str">
        <f>"20068165"</f>
        <v>20068165</v>
      </c>
      <c r="C2439" t="s">
        <v>2386</v>
      </c>
      <c r="D2439" t="s">
        <v>2383</v>
      </c>
      <c r="E2439" s="2"/>
      <c r="F2439" t="s">
        <v>22</v>
      </c>
      <c r="G2439" t="s">
        <v>227</v>
      </c>
      <c r="H2439" t="s">
        <v>227</v>
      </c>
      <c r="I2439"/>
    </row>
    <row r="2440" spans="1:9">
      <c r="A2440" t="s">
        <v>2375</v>
      </c>
      <c r="B2440" s="1" t="str">
        <f>"20068165.2"</f>
        <v>20068165.2</v>
      </c>
      <c r="C2440" t="s">
        <v>2386</v>
      </c>
      <c r="D2440" t="s">
        <v>2383</v>
      </c>
      <c r="E2440" s="2"/>
      <c r="F2440" t="s">
        <v>22</v>
      </c>
      <c r="G2440" t="s">
        <v>227</v>
      </c>
      <c r="H2440" t="s">
        <v>218</v>
      </c>
      <c r="I2440"/>
    </row>
    <row r="2441" spans="1:9">
      <c r="A2441" t="s">
        <v>2375</v>
      </c>
      <c r="B2441" s="1" t="str">
        <f>"20062071"</f>
        <v>20062071</v>
      </c>
      <c r="C2441" t="s">
        <v>2387</v>
      </c>
      <c r="D2441" t="s">
        <v>2388</v>
      </c>
      <c r="E2441" s="2"/>
      <c r="F2441" t="s">
        <v>52</v>
      </c>
      <c r="G2441" t="s">
        <v>2389</v>
      </c>
      <c r="H2441" t="s">
        <v>2390</v>
      </c>
      <c r="I2441"/>
    </row>
    <row r="2442" spans="1:9">
      <c r="A2442" t="s">
        <v>2375</v>
      </c>
      <c r="B2442" s="1" t="str">
        <f>"20095048"</f>
        <v>20095048</v>
      </c>
      <c r="C2442"/>
      <c r="D2442" t="s">
        <v>2391</v>
      </c>
      <c r="E2442" s="2"/>
      <c r="F2442" t="s">
        <v>22</v>
      </c>
      <c r="G2442" t="s">
        <v>232</v>
      </c>
      <c r="H2442" t="s">
        <v>232</v>
      </c>
      <c r="I2442"/>
    </row>
    <row r="2443" spans="1:9">
      <c r="A2443" t="s">
        <v>2375</v>
      </c>
      <c r="B2443" s="1" t="str">
        <f>"20095048.2"</f>
        <v>20095048.2</v>
      </c>
      <c r="C2443"/>
      <c r="D2443" t="s">
        <v>2391</v>
      </c>
      <c r="E2443" s="2"/>
      <c r="F2443" t="s">
        <v>22</v>
      </c>
      <c r="G2443" t="s">
        <v>227</v>
      </c>
      <c r="H2443" t="s">
        <v>218</v>
      </c>
      <c r="I2443"/>
    </row>
    <row r="2444" spans="1:9">
      <c r="A2444" t="s">
        <v>2392</v>
      </c>
      <c r="B2444" s="1" t="str">
        <f>"12002255"</f>
        <v>12002255</v>
      </c>
      <c r="C2444" t="s">
        <v>260</v>
      </c>
      <c r="D2444" t="s">
        <v>2393</v>
      </c>
      <c r="E2444" s="2"/>
      <c r="F2444" t="s">
        <v>2394</v>
      </c>
      <c r="G2444" t="s">
        <v>1551</v>
      </c>
      <c r="H2444" t="s">
        <v>1551</v>
      </c>
      <c r="I2444"/>
    </row>
    <row r="2445" spans="1:9">
      <c r="A2445" t="s">
        <v>2392</v>
      </c>
      <c r="B2445" s="1" t="str">
        <f>"12002257"</f>
        <v>12002257</v>
      </c>
      <c r="C2445" t="s">
        <v>260</v>
      </c>
      <c r="D2445" t="s">
        <v>2395</v>
      </c>
      <c r="E2445" s="2"/>
      <c r="F2445" t="s">
        <v>12</v>
      </c>
      <c r="G2445" t="s">
        <v>1551</v>
      </c>
      <c r="H2445" t="s">
        <v>1551</v>
      </c>
      <c r="I2445"/>
    </row>
    <row r="2446" spans="1:9">
      <c r="A2446" t="s">
        <v>9</v>
      </c>
      <c r="B2446" s="1" t="str">
        <f>"20182164"</f>
        <v>20182164</v>
      </c>
      <c r="C2446" t="s">
        <v>10</v>
      </c>
      <c r="D2446" t="s">
        <v>11</v>
      </c>
      <c r="E2446" s="2"/>
      <c r="F2446" t="s">
        <v>12</v>
      </c>
      <c r="G2446" t="s">
        <v>13</v>
      </c>
      <c r="H2446" t="s">
        <v>13</v>
      </c>
      <c r="I2446"/>
    </row>
    <row r="2447" spans="1:9">
      <c r="A2447" t="s">
        <v>2392</v>
      </c>
      <c r="B2447" s="1" t="str">
        <f>"24197825"</f>
        <v>24197825</v>
      </c>
      <c r="C2447" t="s">
        <v>10</v>
      </c>
      <c r="D2447" t="s">
        <v>2396</v>
      </c>
      <c r="E2447" s="2"/>
      <c r="F2447" t="s">
        <v>12</v>
      </c>
      <c r="G2447" t="s">
        <v>13</v>
      </c>
      <c r="H2447" t="s">
        <v>13</v>
      </c>
      <c r="I2447"/>
    </row>
    <row r="2448" spans="1:9">
      <c r="A2448" t="s">
        <v>9</v>
      </c>
      <c r="B2448" s="1" t="str">
        <f>"20182165"</f>
        <v>20182165</v>
      </c>
      <c r="C2448" t="s">
        <v>10</v>
      </c>
      <c r="D2448" t="s">
        <v>14</v>
      </c>
      <c r="E2448" s="2"/>
      <c r="F2448" t="s">
        <v>12</v>
      </c>
      <c r="G2448" t="s">
        <v>13</v>
      </c>
      <c r="H2448" t="s">
        <v>13</v>
      </c>
      <c r="I2448"/>
    </row>
    <row r="2449" spans="1:9">
      <c r="A2449" t="s">
        <v>9</v>
      </c>
      <c r="B2449" s="1" t="str">
        <f>"20200041"</f>
        <v>20200041</v>
      </c>
      <c r="C2449" t="s">
        <v>15</v>
      </c>
      <c r="D2449" t="s">
        <v>16</v>
      </c>
      <c r="E2449" s="2"/>
      <c r="F2449" t="s">
        <v>12</v>
      </c>
      <c r="G2449"/>
      <c r="H2449" t="s">
        <v>17</v>
      </c>
      <c r="I2449"/>
    </row>
    <row r="2450" spans="1:9">
      <c r="A2450" t="s">
        <v>2392</v>
      </c>
      <c r="B2450" s="1" t="str">
        <f>"21888739"</f>
        <v>21888739</v>
      </c>
      <c r="C2450" t="s">
        <v>15</v>
      </c>
      <c r="D2450" t="s">
        <v>2397</v>
      </c>
      <c r="E2450" s="2"/>
      <c r="F2450" t="s">
        <v>12</v>
      </c>
      <c r="G2450" t="s">
        <v>13</v>
      </c>
      <c r="H2450" t="s">
        <v>13</v>
      </c>
      <c r="I2450"/>
    </row>
    <row r="2451" spans="1:9">
      <c r="A2451" t="s">
        <v>2392</v>
      </c>
      <c r="B2451" s="1" t="str">
        <f>"24197822"</f>
        <v>24197822</v>
      </c>
      <c r="C2451" t="s">
        <v>15</v>
      </c>
      <c r="D2451" t="s">
        <v>2398</v>
      </c>
      <c r="E2451" s="2"/>
      <c r="F2451" t="s">
        <v>12</v>
      </c>
      <c r="G2451" t="s">
        <v>13</v>
      </c>
      <c r="H2451" t="s">
        <v>13</v>
      </c>
      <c r="I2451"/>
    </row>
    <row r="2452" spans="1:9">
      <c r="A2452" t="s">
        <v>2392</v>
      </c>
      <c r="B2452" s="1" t="str">
        <f>"24197824"</f>
        <v>24197824</v>
      </c>
      <c r="C2452" t="s">
        <v>15</v>
      </c>
      <c r="D2452" t="s">
        <v>2396</v>
      </c>
      <c r="E2452" s="2"/>
      <c r="F2452" t="s">
        <v>12</v>
      </c>
      <c r="G2452" t="s">
        <v>13</v>
      </c>
      <c r="H2452" t="s">
        <v>13</v>
      </c>
      <c r="I2452"/>
    </row>
    <row r="2453" spans="1:9">
      <c r="A2453" t="s">
        <v>2392</v>
      </c>
      <c r="B2453" s="1" t="str">
        <f>"26588317"</f>
        <v>26588317</v>
      </c>
      <c r="C2453" t="s">
        <v>15</v>
      </c>
      <c r="D2453" t="s">
        <v>2399</v>
      </c>
      <c r="E2453" s="2"/>
      <c r="F2453" t="s">
        <v>12</v>
      </c>
      <c r="G2453" t="s">
        <v>13</v>
      </c>
      <c r="H2453" t="s">
        <v>13</v>
      </c>
      <c r="I2453"/>
    </row>
    <row r="2454" spans="1:9">
      <c r="A2454" t="s">
        <v>2392</v>
      </c>
      <c r="B2454" s="1" t="str">
        <f>"20077550"</f>
        <v>20077550</v>
      </c>
      <c r="C2454" t="s">
        <v>15</v>
      </c>
      <c r="D2454" t="s">
        <v>2400</v>
      </c>
      <c r="E2454" s="2"/>
      <c r="F2454" t="s">
        <v>12</v>
      </c>
      <c r="G2454" t="s">
        <v>80</v>
      </c>
      <c r="H2454" t="s">
        <v>80</v>
      </c>
      <c r="I2454"/>
    </row>
    <row r="2455" spans="1:9">
      <c r="A2455" t="s">
        <v>2392</v>
      </c>
      <c r="B2455" s="1" t="str">
        <f>"21888740"</f>
        <v>21888740</v>
      </c>
      <c r="C2455" t="s">
        <v>15</v>
      </c>
      <c r="D2455" t="s">
        <v>2401</v>
      </c>
      <c r="E2455" s="2"/>
      <c r="F2455" t="s">
        <v>12</v>
      </c>
      <c r="G2455" t="s">
        <v>13</v>
      </c>
      <c r="H2455" t="s">
        <v>13</v>
      </c>
      <c r="I2455"/>
    </row>
    <row r="2456" spans="1:9">
      <c r="A2456" t="s">
        <v>2392</v>
      </c>
      <c r="B2456" s="1" t="str">
        <f>"20190075"</f>
        <v>20190075</v>
      </c>
      <c r="C2456" t="s">
        <v>2402</v>
      </c>
      <c r="D2456" t="s">
        <v>2403</v>
      </c>
      <c r="E2456" s="2"/>
      <c r="F2456" t="s">
        <v>93</v>
      </c>
      <c r="G2456" t="s">
        <v>1463</v>
      </c>
      <c r="H2456" t="s">
        <v>1463</v>
      </c>
      <c r="I2456"/>
    </row>
    <row r="2457" spans="1:9">
      <c r="A2457" t="s">
        <v>2392</v>
      </c>
      <c r="B2457" s="1" t="str">
        <f>"20052652"</f>
        <v>20052652</v>
      </c>
      <c r="C2457" t="s">
        <v>2402</v>
      </c>
      <c r="D2457" t="s">
        <v>2404</v>
      </c>
      <c r="E2457" s="2"/>
      <c r="F2457" t="s">
        <v>93</v>
      </c>
      <c r="G2457" t="s">
        <v>2053</v>
      </c>
      <c r="H2457" t="s">
        <v>2053</v>
      </c>
      <c r="I2457"/>
    </row>
    <row r="2458" spans="1:9">
      <c r="A2458" t="s">
        <v>2392</v>
      </c>
      <c r="B2458" s="1" t="str">
        <f>"20083106"</f>
        <v>20083106</v>
      </c>
      <c r="C2458" t="s">
        <v>225</v>
      </c>
      <c r="D2458" t="s">
        <v>2405</v>
      </c>
      <c r="E2458" s="2"/>
      <c r="F2458" t="s">
        <v>90</v>
      </c>
      <c r="G2458" t="s">
        <v>120</v>
      </c>
      <c r="H2458" t="s">
        <v>120</v>
      </c>
      <c r="I2458"/>
    </row>
    <row r="2459" spans="1:9">
      <c r="A2459" t="s">
        <v>2392</v>
      </c>
      <c r="B2459" s="1" t="str">
        <f>"20230920"</f>
        <v>20230920</v>
      </c>
      <c r="C2459" t="s">
        <v>225</v>
      </c>
      <c r="D2459" t="s">
        <v>2406</v>
      </c>
      <c r="E2459" s="2"/>
      <c r="F2459" t="s">
        <v>68</v>
      </c>
      <c r="G2459" t="s">
        <v>1722</v>
      </c>
      <c r="H2459" t="s">
        <v>1722</v>
      </c>
      <c r="I2459"/>
    </row>
    <row r="2460" spans="1:9">
      <c r="A2460" t="s">
        <v>2392</v>
      </c>
      <c r="B2460" s="1" t="str">
        <f>"20097325"</f>
        <v>20097325</v>
      </c>
      <c r="C2460" t="s">
        <v>225</v>
      </c>
      <c r="D2460" t="s">
        <v>2407</v>
      </c>
      <c r="E2460" s="2"/>
      <c r="F2460" t="s">
        <v>137</v>
      </c>
      <c r="G2460" t="s">
        <v>2408</v>
      </c>
      <c r="H2460" t="s">
        <v>2408</v>
      </c>
      <c r="I2460"/>
    </row>
    <row r="2461" spans="1:9">
      <c r="A2461" t="s">
        <v>9</v>
      </c>
      <c r="B2461" s="1" t="str">
        <f>"20200031"</f>
        <v>20200031</v>
      </c>
      <c r="C2461"/>
      <c r="D2461" t="s">
        <v>18</v>
      </c>
      <c r="E2461" s="2"/>
      <c r="F2461" t="s">
        <v>12</v>
      </c>
      <c r="G2461" t="s">
        <v>19</v>
      </c>
      <c r="H2461" t="s">
        <v>19</v>
      </c>
      <c r="I2461"/>
    </row>
    <row r="2462" spans="1:9">
      <c r="A2462" t="s">
        <v>2392</v>
      </c>
      <c r="B2462" s="1" t="str">
        <f>"20891299"</f>
        <v>20891299</v>
      </c>
      <c r="C2462" t="s">
        <v>2409</v>
      </c>
      <c r="D2462" t="s">
        <v>2410</v>
      </c>
      <c r="E2462" s="2"/>
      <c r="F2462" t="s">
        <v>90</v>
      </c>
      <c r="G2462" t="s">
        <v>148</v>
      </c>
      <c r="H2462" t="s">
        <v>148</v>
      </c>
      <c r="I2462"/>
    </row>
    <row r="2463" spans="1:9">
      <c r="A2463" t="s">
        <v>2392</v>
      </c>
      <c r="B2463" s="1" t="str">
        <f>"20891299.2"</f>
        <v>20891299.2</v>
      </c>
      <c r="C2463" t="s">
        <v>2409</v>
      </c>
      <c r="D2463" t="s">
        <v>2410</v>
      </c>
      <c r="E2463" s="2"/>
      <c r="F2463" t="s">
        <v>90</v>
      </c>
      <c r="G2463" t="s">
        <v>148</v>
      </c>
      <c r="H2463" t="s">
        <v>218</v>
      </c>
      <c r="I2463"/>
    </row>
    <row r="2464" spans="1:9">
      <c r="A2464" t="s">
        <v>2411</v>
      </c>
      <c r="B2464" s="1" t="str">
        <f>"11014251"</f>
        <v>11014251</v>
      </c>
      <c r="C2464" t="s">
        <v>260</v>
      </c>
      <c r="D2464" t="s">
        <v>2412</v>
      </c>
      <c r="E2464" s="2">
        <v>0.049</v>
      </c>
      <c r="F2464" t="s">
        <v>2413</v>
      </c>
      <c r="G2464" t="s">
        <v>2414</v>
      </c>
      <c r="H2464" t="s">
        <v>2414</v>
      </c>
      <c r="I2464"/>
    </row>
    <row r="2465" spans="1:9">
      <c r="A2465" t="s">
        <v>2411</v>
      </c>
      <c r="B2465" s="1" t="str">
        <f>"22738707"</f>
        <v>22738707</v>
      </c>
      <c r="C2465" t="s">
        <v>260</v>
      </c>
      <c r="D2465" t="s">
        <v>2415</v>
      </c>
      <c r="E2465" s="2"/>
      <c r="F2465"/>
      <c r="G2465" t="s">
        <v>2414</v>
      </c>
      <c r="H2465" t="s">
        <v>2414</v>
      </c>
      <c r="I2465"/>
    </row>
    <row r="2466" spans="1:9">
      <c r="A2466" t="s">
        <v>2411</v>
      </c>
      <c r="B2466" s="1" t="str">
        <f>"12014103"</f>
        <v>12014103</v>
      </c>
      <c r="C2466" t="s">
        <v>260</v>
      </c>
      <c r="D2466" t="s">
        <v>2416</v>
      </c>
      <c r="E2466" s="2">
        <v>0.025</v>
      </c>
      <c r="F2466"/>
      <c r="G2466" t="s">
        <v>2414</v>
      </c>
      <c r="H2466" t="s">
        <v>2414</v>
      </c>
      <c r="I2466"/>
    </row>
    <row r="2467" spans="1:9">
      <c r="A2467" t="s">
        <v>2411</v>
      </c>
      <c r="B2467" s="1" t="str">
        <f>"12014123"</f>
        <v>12014123</v>
      </c>
      <c r="C2467" t="s">
        <v>260</v>
      </c>
      <c r="D2467" t="s">
        <v>2417</v>
      </c>
      <c r="E2467" s="2">
        <v>0.025</v>
      </c>
      <c r="F2467"/>
      <c r="G2467" t="s">
        <v>2414</v>
      </c>
      <c r="H2467" t="s">
        <v>2414</v>
      </c>
      <c r="I2467"/>
    </row>
    <row r="2468" spans="1:9">
      <c r="A2468" t="s">
        <v>2411</v>
      </c>
      <c r="B2468" s="1" t="str">
        <f>"12014085"</f>
        <v>12014085</v>
      </c>
      <c r="C2468" t="s">
        <v>260</v>
      </c>
      <c r="D2468" t="s">
        <v>2418</v>
      </c>
      <c r="E2468" s="2">
        <v>0.054</v>
      </c>
      <c r="F2468"/>
      <c r="G2468" t="s">
        <v>2414</v>
      </c>
      <c r="H2468" t="s">
        <v>2414</v>
      </c>
      <c r="I2468"/>
    </row>
    <row r="2469" spans="1:9">
      <c r="A2469" t="s">
        <v>2411</v>
      </c>
      <c r="B2469" s="1" t="str">
        <f>"11014227"</f>
        <v>11014227</v>
      </c>
      <c r="C2469" t="s">
        <v>260</v>
      </c>
      <c r="D2469" t="s">
        <v>2419</v>
      </c>
      <c r="E2469" s="2">
        <v>0.054</v>
      </c>
      <c r="F2469" t="s">
        <v>2394</v>
      </c>
      <c r="G2469" t="s">
        <v>2414</v>
      </c>
      <c r="H2469" t="s">
        <v>2414</v>
      </c>
      <c r="I2469"/>
    </row>
    <row r="2470" spans="1:9">
      <c r="A2470" t="s">
        <v>2411</v>
      </c>
      <c r="B2470" s="1" t="str">
        <f>"12014195"</f>
        <v>12014195</v>
      </c>
      <c r="C2470" t="s">
        <v>260</v>
      </c>
      <c r="D2470" t="s">
        <v>2420</v>
      </c>
      <c r="E2470" s="2"/>
      <c r="F2470"/>
      <c r="G2470" t="s">
        <v>2414</v>
      </c>
      <c r="H2470" t="s">
        <v>2414</v>
      </c>
      <c r="I2470"/>
    </row>
    <row r="2471" spans="1:9">
      <c r="A2471" t="s">
        <v>2411</v>
      </c>
      <c r="B2471" s="1" t="str">
        <f>"11014074"</f>
        <v>11014074</v>
      </c>
      <c r="C2471" t="s">
        <v>260</v>
      </c>
      <c r="D2471" t="s">
        <v>2421</v>
      </c>
      <c r="E2471" s="2">
        <v>0.05</v>
      </c>
      <c r="F2471"/>
      <c r="G2471" t="s">
        <v>2414</v>
      </c>
      <c r="H2471" t="s">
        <v>2414</v>
      </c>
      <c r="I2471"/>
    </row>
    <row r="2472" spans="1:9">
      <c r="A2472" t="s">
        <v>2411</v>
      </c>
      <c r="B2472" s="1" t="str">
        <f>"11014006"</f>
        <v>11014006</v>
      </c>
      <c r="C2472" t="s">
        <v>260</v>
      </c>
      <c r="D2472" t="s">
        <v>2422</v>
      </c>
      <c r="E2472" s="2">
        <v>0.054</v>
      </c>
      <c r="F2472"/>
      <c r="G2472" t="s">
        <v>2414</v>
      </c>
      <c r="H2472" t="s">
        <v>2414</v>
      </c>
      <c r="I2472"/>
    </row>
    <row r="2473" spans="1:9">
      <c r="A2473" t="s">
        <v>2411</v>
      </c>
      <c r="B2473" s="1" t="str">
        <f>"11014154"</f>
        <v>11014154</v>
      </c>
      <c r="C2473" t="s">
        <v>260</v>
      </c>
      <c r="D2473" t="s">
        <v>2423</v>
      </c>
      <c r="E2473" s="2">
        <v>0.059</v>
      </c>
      <c r="F2473" t="s">
        <v>2394</v>
      </c>
      <c r="G2473" t="s">
        <v>2414</v>
      </c>
      <c r="H2473" t="s">
        <v>2414</v>
      </c>
      <c r="I2473"/>
    </row>
    <row r="2474" spans="1:9">
      <c r="A2474" t="s">
        <v>2411</v>
      </c>
      <c r="B2474" s="1" t="str">
        <f>"11014044"</f>
        <v>11014044</v>
      </c>
      <c r="C2474" t="s">
        <v>260</v>
      </c>
      <c r="D2474" t="s">
        <v>2424</v>
      </c>
      <c r="E2474" s="2">
        <v>0.089</v>
      </c>
      <c r="F2474"/>
      <c r="G2474" t="s">
        <v>2414</v>
      </c>
      <c r="H2474" t="s">
        <v>2414</v>
      </c>
      <c r="I2474"/>
    </row>
    <row r="2475" spans="1:9">
      <c r="A2475" t="s">
        <v>2411</v>
      </c>
      <c r="B2475" s="1" t="str">
        <f>"11014089"</f>
        <v>11014089</v>
      </c>
      <c r="C2475" t="s">
        <v>260</v>
      </c>
      <c r="D2475" t="s">
        <v>2425</v>
      </c>
      <c r="E2475" s="2">
        <v>0.075</v>
      </c>
      <c r="F2475"/>
      <c r="G2475" t="s">
        <v>2414</v>
      </c>
      <c r="H2475" t="s">
        <v>2414</v>
      </c>
      <c r="I2475"/>
    </row>
    <row r="2476" spans="1:9">
      <c r="A2476" t="s">
        <v>2411</v>
      </c>
      <c r="B2476" s="1" t="str">
        <f>"11014026"</f>
        <v>11014026</v>
      </c>
      <c r="C2476" t="s">
        <v>260</v>
      </c>
      <c r="D2476" t="s">
        <v>2426</v>
      </c>
      <c r="E2476" s="2">
        <v>0.045</v>
      </c>
      <c r="F2476" t="s">
        <v>2427</v>
      </c>
      <c r="G2476" t="s">
        <v>2414</v>
      </c>
      <c r="H2476" t="s">
        <v>2414</v>
      </c>
      <c r="I2476"/>
    </row>
    <row r="2477" spans="1:9">
      <c r="A2477" t="s">
        <v>2411</v>
      </c>
      <c r="B2477" s="1" t="str">
        <f>"11014011"</f>
        <v>11014011</v>
      </c>
      <c r="C2477" t="s">
        <v>260</v>
      </c>
      <c r="D2477" t="s">
        <v>2428</v>
      </c>
      <c r="E2477" s="2">
        <v>0.065</v>
      </c>
      <c r="F2477"/>
      <c r="G2477" t="s">
        <v>2414</v>
      </c>
      <c r="H2477" t="s">
        <v>2414</v>
      </c>
      <c r="I2477"/>
    </row>
    <row r="2478" spans="1:9">
      <c r="A2478" t="s">
        <v>2411</v>
      </c>
      <c r="B2478" s="1" t="str">
        <f>"12014053"</f>
        <v>12014053</v>
      </c>
      <c r="C2478" t="s">
        <v>260</v>
      </c>
      <c r="D2478" t="s">
        <v>2429</v>
      </c>
      <c r="E2478" s="2">
        <v>0.053</v>
      </c>
      <c r="F2478"/>
      <c r="G2478" t="s">
        <v>2414</v>
      </c>
      <c r="H2478" t="s">
        <v>2414</v>
      </c>
      <c r="I2478"/>
    </row>
    <row r="2479" spans="1:9">
      <c r="A2479" t="s">
        <v>2411</v>
      </c>
      <c r="B2479" s="1" t="str">
        <f>"12014037"</f>
        <v>12014037</v>
      </c>
      <c r="C2479" t="s">
        <v>260</v>
      </c>
      <c r="D2479" t="s">
        <v>2430</v>
      </c>
      <c r="E2479" s="2">
        <v>0.048</v>
      </c>
      <c r="F2479"/>
      <c r="G2479" t="s">
        <v>2414</v>
      </c>
      <c r="H2479" t="s">
        <v>2414</v>
      </c>
      <c r="I2479"/>
    </row>
    <row r="2480" spans="1:9">
      <c r="A2480" t="s">
        <v>2411</v>
      </c>
      <c r="B2480" s="1" t="str">
        <f>"11014061"</f>
        <v>11014061</v>
      </c>
      <c r="C2480" t="s">
        <v>260</v>
      </c>
      <c r="D2480" t="s">
        <v>2431</v>
      </c>
      <c r="E2480" s="2">
        <v>0.05</v>
      </c>
      <c r="F2480"/>
      <c r="G2480" t="s">
        <v>2414</v>
      </c>
      <c r="H2480" t="s">
        <v>2414</v>
      </c>
      <c r="I2480"/>
    </row>
    <row r="2481" spans="1:9">
      <c r="A2481" t="s">
        <v>2411</v>
      </c>
      <c r="B2481" s="1" t="str">
        <f>"11014027"</f>
        <v>11014027</v>
      </c>
      <c r="C2481" t="s">
        <v>260</v>
      </c>
      <c r="D2481" t="s">
        <v>2432</v>
      </c>
      <c r="E2481" s="2">
        <v>0.05</v>
      </c>
      <c r="F2481"/>
      <c r="G2481" t="s">
        <v>2414</v>
      </c>
      <c r="H2481" t="s">
        <v>2414</v>
      </c>
      <c r="I2481"/>
    </row>
    <row r="2482" spans="1:9">
      <c r="A2482" t="s">
        <v>2411</v>
      </c>
      <c r="B2482" s="1" t="str">
        <f>"12014042"</f>
        <v>12014042</v>
      </c>
      <c r="C2482" t="s">
        <v>260</v>
      </c>
      <c r="D2482" t="s">
        <v>2433</v>
      </c>
      <c r="E2482" s="2"/>
      <c r="F2482"/>
      <c r="G2482" t="s">
        <v>2414</v>
      </c>
      <c r="H2482" t="s">
        <v>2414</v>
      </c>
      <c r="I2482"/>
    </row>
    <row r="2483" spans="1:9">
      <c r="A2483" t="s">
        <v>2411</v>
      </c>
      <c r="B2483" s="1" t="str">
        <f>"11014015"</f>
        <v>11014015</v>
      </c>
      <c r="C2483" t="s">
        <v>260</v>
      </c>
      <c r="D2483" t="s">
        <v>2434</v>
      </c>
      <c r="E2483" s="2">
        <v>0.049</v>
      </c>
      <c r="F2483"/>
      <c r="G2483" t="s">
        <v>2414</v>
      </c>
      <c r="H2483" t="s">
        <v>2414</v>
      </c>
      <c r="I2483"/>
    </row>
    <row r="2484" spans="1:9">
      <c r="A2484" t="s">
        <v>2411</v>
      </c>
      <c r="B2484" s="1" t="str">
        <f>"11014023"</f>
        <v>11014023</v>
      </c>
      <c r="C2484" t="s">
        <v>260</v>
      </c>
      <c r="D2484" t="s">
        <v>2435</v>
      </c>
      <c r="E2484" s="2">
        <v>0.044</v>
      </c>
      <c r="F2484"/>
      <c r="G2484" t="s">
        <v>2414</v>
      </c>
      <c r="H2484" t="s">
        <v>2414</v>
      </c>
      <c r="I2484"/>
    </row>
    <row r="2485" spans="1:9">
      <c r="A2485" t="s">
        <v>2411</v>
      </c>
      <c r="B2485" s="1" t="str">
        <f>"29910016"</f>
        <v>29910016</v>
      </c>
      <c r="C2485" t="s">
        <v>260</v>
      </c>
      <c r="D2485" t="s">
        <v>2436</v>
      </c>
      <c r="E2485" s="2"/>
      <c r="F2485" t="s">
        <v>2437</v>
      </c>
      <c r="G2485" t="s">
        <v>2414</v>
      </c>
      <c r="H2485" t="s">
        <v>2414</v>
      </c>
      <c r="I2485"/>
    </row>
    <row r="2486" spans="1:9">
      <c r="A2486" t="s">
        <v>2411</v>
      </c>
      <c r="B2486" s="1" t="str">
        <f>"11014251"</f>
        <v>11014251</v>
      </c>
      <c r="C2486" t="s">
        <v>260</v>
      </c>
      <c r="D2486" t="s">
        <v>2412</v>
      </c>
      <c r="E2486" s="2">
        <v>0.049</v>
      </c>
      <c r="F2486" t="s">
        <v>2413</v>
      </c>
      <c r="G2486" t="s">
        <v>2414</v>
      </c>
      <c r="H2486" t="s">
        <v>2414</v>
      </c>
      <c r="I2486"/>
    </row>
    <row r="2487" spans="1:9">
      <c r="A2487" t="s">
        <v>2411</v>
      </c>
      <c r="B2487" s="1" t="str">
        <f>"12014054"</f>
        <v>12014054</v>
      </c>
      <c r="C2487" t="s">
        <v>260</v>
      </c>
      <c r="D2487" t="s">
        <v>2438</v>
      </c>
      <c r="E2487" s="2">
        <v>0.052</v>
      </c>
      <c r="F2487"/>
      <c r="G2487" t="s">
        <v>2414</v>
      </c>
      <c r="H2487" t="s">
        <v>2414</v>
      </c>
      <c r="I2487"/>
    </row>
    <row r="2488" spans="1:9">
      <c r="A2488" t="s">
        <v>2411</v>
      </c>
      <c r="B2488" s="1" t="str">
        <f>"22738707"</f>
        <v>22738707</v>
      </c>
      <c r="C2488" t="s">
        <v>260</v>
      </c>
      <c r="D2488" t="s">
        <v>2415</v>
      </c>
      <c r="E2488" s="2"/>
      <c r="F2488"/>
      <c r="G2488" t="s">
        <v>2414</v>
      </c>
      <c r="H2488" t="s">
        <v>2414</v>
      </c>
      <c r="I2488"/>
    </row>
    <row r="2489" spans="1:9">
      <c r="A2489" t="s">
        <v>2411</v>
      </c>
      <c r="B2489" s="1" t="str">
        <f>"12014103"</f>
        <v>12014103</v>
      </c>
      <c r="C2489" t="s">
        <v>260</v>
      </c>
      <c r="D2489" t="s">
        <v>2416</v>
      </c>
      <c r="E2489" s="2">
        <v>0.025</v>
      </c>
      <c r="F2489"/>
      <c r="G2489" t="s">
        <v>2414</v>
      </c>
      <c r="H2489" t="s">
        <v>2414</v>
      </c>
      <c r="I2489"/>
    </row>
    <row r="2490" spans="1:9">
      <c r="A2490" t="s">
        <v>2411</v>
      </c>
      <c r="B2490" s="1" t="str">
        <f>"12014123"</f>
        <v>12014123</v>
      </c>
      <c r="C2490" t="s">
        <v>260</v>
      </c>
      <c r="D2490" t="s">
        <v>2417</v>
      </c>
      <c r="E2490" s="2">
        <v>0.025</v>
      </c>
      <c r="F2490"/>
      <c r="G2490" t="s">
        <v>2414</v>
      </c>
      <c r="H2490" t="s">
        <v>2414</v>
      </c>
      <c r="I2490"/>
    </row>
    <row r="2491" spans="1:9">
      <c r="A2491" t="s">
        <v>2411</v>
      </c>
      <c r="B2491" s="1" t="str">
        <f>"11014001"</f>
        <v>11014001</v>
      </c>
      <c r="C2491" t="s">
        <v>260</v>
      </c>
      <c r="D2491" t="s">
        <v>2439</v>
      </c>
      <c r="E2491" s="2">
        <v>0.05</v>
      </c>
      <c r="F2491" t="s">
        <v>2413</v>
      </c>
      <c r="G2491" t="s">
        <v>2414</v>
      </c>
      <c r="H2491" t="s">
        <v>2414</v>
      </c>
      <c r="I2491"/>
    </row>
    <row r="2492" spans="1:9">
      <c r="A2492" t="s">
        <v>2411</v>
      </c>
      <c r="B2492" s="1" t="str">
        <f>"12014085"</f>
        <v>12014085</v>
      </c>
      <c r="C2492" t="s">
        <v>260</v>
      </c>
      <c r="D2492" t="s">
        <v>2418</v>
      </c>
      <c r="E2492" s="2">
        <v>0.054</v>
      </c>
      <c r="F2492"/>
      <c r="G2492" t="s">
        <v>2414</v>
      </c>
      <c r="H2492" t="s">
        <v>2414</v>
      </c>
      <c r="I2492"/>
    </row>
    <row r="2493" spans="1:9">
      <c r="A2493" t="s">
        <v>2411</v>
      </c>
      <c r="B2493" s="1" t="str">
        <f>"11014227"</f>
        <v>11014227</v>
      </c>
      <c r="C2493" t="s">
        <v>260</v>
      </c>
      <c r="D2493" t="s">
        <v>2419</v>
      </c>
      <c r="E2493" s="2">
        <v>0.054</v>
      </c>
      <c r="F2493" t="s">
        <v>2394</v>
      </c>
      <c r="G2493" t="s">
        <v>2414</v>
      </c>
      <c r="H2493" t="s">
        <v>2414</v>
      </c>
      <c r="I2493"/>
    </row>
    <row r="2494" spans="1:9">
      <c r="A2494" t="s">
        <v>2411</v>
      </c>
      <c r="B2494" s="1" t="str">
        <f>"12014015"</f>
        <v>12014015</v>
      </c>
      <c r="C2494" t="s">
        <v>260</v>
      </c>
      <c r="D2494" t="s">
        <v>2440</v>
      </c>
      <c r="E2494" s="2">
        <v>0.03</v>
      </c>
      <c r="F2494"/>
      <c r="G2494" t="s">
        <v>2414</v>
      </c>
      <c r="H2494" t="s">
        <v>2414</v>
      </c>
      <c r="I2494"/>
    </row>
    <row r="2495" spans="1:9">
      <c r="A2495" t="s">
        <v>2411</v>
      </c>
      <c r="B2495" s="1" t="str">
        <f>"11014082"</f>
        <v>11014082</v>
      </c>
      <c r="C2495" t="s">
        <v>260</v>
      </c>
      <c r="D2495" t="s">
        <v>2441</v>
      </c>
      <c r="E2495" s="2">
        <v>0.048</v>
      </c>
      <c r="F2495"/>
      <c r="G2495" t="s">
        <v>2414</v>
      </c>
      <c r="H2495" t="s">
        <v>2414</v>
      </c>
      <c r="I2495"/>
    </row>
    <row r="2496" spans="1:9">
      <c r="A2496" t="s">
        <v>2411</v>
      </c>
      <c r="B2496" s="1" t="str">
        <f>"11014031"</f>
        <v>11014031</v>
      </c>
      <c r="C2496" t="s">
        <v>260</v>
      </c>
      <c r="D2496" t="s">
        <v>2442</v>
      </c>
      <c r="E2496" s="2">
        <v>0.05</v>
      </c>
      <c r="F2496"/>
      <c r="G2496" t="s">
        <v>2414</v>
      </c>
      <c r="H2496" t="s">
        <v>2414</v>
      </c>
      <c r="I2496"/>
    </row>
    <row r="2497" spans="1:9">
      <c r="A2497" t="s">
        <v>2411</v>
      </c>
      <c r="B2497" s="1" t="str">
        <f>"11014024"</f>
        <v>11014024</v>
      </c>
      <c r="C2497" t="s">
        <v>260</v>
      </c>
      <c r="D2497" t="s">
        <v>2443</v>
      </c>
      <c r="E2497" s="2">
        <v>0.05</v>
      </c>
      <c r="F2497"/>
      <c r="G2497" t="s">
        <v>2414</v>
      </c>
      <c r="H2497" t="s">
        <v>2414</v>
      </c>
      <c r="I2497"/>
    </row>
    <row r="2498" spans="1:9">
      <c r="A2498" t="s">
        <v>2411</v>
      </c>
      <c r="B2498" s="1" t="str">
        <f>"11014074"</f>
        <v>11014074</v>
      </c>
      <c r="C2498" t="s">
        <v>260</v>
      </c>
      <c r="D2498" t="s">
        <v>2421</v>
      </c>
      <c r="E2498" s="2">
        <v>0.05</v>
      </c>
      <c r="F2498"/>
      <c r="G2498" t="s">
        <v>2414</v>
      </c>
      <c r="H2498" t="s">
        <v>2414</v>
      </c>
      <c r="I2498"/>
    </row>
    <row r="2499" spans="1:9">
      <c r="A2499" t="s">
        <v>2411</v>
      </c>
      <c r="B2499" s="1" t="str">
        <f>"12014039"</f>
        <v>12014039</v>
      </c>
      <c r="C2499" t="s">
        <v>260</v>
      </c>
      <c r="D2499" t="s">
        <v>2444</v>
      </c>
      <c r="E2499" s="2"/>
      <c r="F2499"/>
      <c r="G2499" t="s">
        <v>2414</v>
      </c>
      <c r="H2499" t="s">
        <v>2414</v>
      </c>
      <c r="I2499"/>
    </row>
    <row r="2500" spans="1:9">
      <c r="A2500" t="s">
        <v>2411</v>
      </c>
      <c r="B2500" s="1" t="str">
        <f>"11014057"</f>
        <v>11014057</v>
      </c>
      <c r="C2500" t="s">
        <v>260</v>
      </c>
      <c r="D2500" t="s">
        <v>2445</v>
      </c>
      <c r="E2500" s="2">
        <v>0.054</v>
      </c>
      <c r="F2500" t="s">
        <v>2413</v>
      </c>
      <c r="G2500" t="s">
        <v>2414</v>
      </c>
      <c r="H2500" t="s">
        <v>2414</v>
      </c>
      <c r="I2500"/>
    </row>
    <row r="2501" spans="1:9">
      <c r="A2501" t="s">
        <v>2411</v>
      </c>
      <c r="B2501" s="1" t="str">
        <f>"11014006"</f>
        <v>11014006</v>
      </c>
      <c r="C2501" t="s">
        <v>260</v>
      </c>
      <c r="D2501" t="s">
        <v>2422</v>
      </c>
      <c r="E2501" s="2">
        <v>0.054</v>
      </c>
      <c r="F2501"/>
      <c r="G2501" t="s">
        <v>2414</v>
      </c>
      <c r="H2501" t="s">
        <v>2414</v>
      </c>
      <c r="I2501"/>
    </row>
    <row r="2502" spans="1:9">
      <c r="A2502" t="s">
        <v>2411</v>
      </c>
      <c r="B2502" s="1" t="str">
        <f>"11014154"</f>
        <v>11014154</v>
      </c>
      <c r="C2502" t="s">
        <v>260</v>
      </c>
      <c r="D2502" t="s">
        <v>2423</v>
      </c>
      <c r="E2502" s="2">
        <v>0.059</v>
      </c>
      <c r="F2502" t="s">
        <v>2394</v>
      </c>
      <c r="G2502" t="s">
        <v>2414</v>
      </c>
      <c r="H2502" t="s">
        <v>2414</v>
      </c>
      <c r="I2502"/>
    </row>
    <row r="2503" spans="1:9">
      <c r="A2503" t="s">
        <v>2411</v>
      </c>
      <c r="B2503" s="1" t="str">
        <f>"11014091"</f>
        <v>11014091</v>
      </c>
      <c r="C2503" t="s">
        <v>260</v>
      </c>
      <c r="D2503" t="s">
        <v>2446</v>
      </c>
      <c r="E2503" s="2">
        <v>0.12</v>
      </c>
      <c r="F2503"/>
      <c r="G2503" t="s">
        <v>2414</v>
      </c>
      <c r="H2503" t="s">
        <v>2414</v>
      </c>
      <c r="I2503"/>
    </row>
    <row r="2504" spans="1:9">
      <c r="A2504" t="s">
        <v>2411</v>
      </c>
      <c r="B2504" s="1" t="str">
        <f>"11014044"</f>
        <v>11014044</v>
      </c>
      <c r="C2504" t="s">
        <v>260</v>
      </c>
      <c r="D2504" t="s">
        <v>2424</v>
      </c>
      <c r="E2504" s="2">
        <v>0.089</v>
      </c>
      <c r="F2504"/>
      <c r="G2504" t="s">
        <v>2414</v>
      </c>
      <c r="H2504" t="s">
        <v>2414</v>
      </c>
      <c r="I2504"/>
    </row>
    <row r="2505" spans="1:9">
      <c r="A2505" t="s">
        <v>2411</v>
      </c>
      <c r="B2505" s="1" t="str">
        <f>"11014089"</f>
        <v>11014089</v>
      </c>
      <c r="C2505" t="s">
        <v>260</v>
      </c>
      <c r="D2505" t="s">
        <v>2425</v>
      </c>
      <c r="E2505" s="2">
        <v>0.075</v>
      </c>
      <c r="F2505"/>
      <c r="G2505" t="s">
        <v>2414</v>
      </c>
      <c r="H2505" t="s">
        <v>2414</v>
      </c>
      <c r="I2505"/>
    </row>
    <row r="2506" spans="1:9">
      <c r="A2506" t="s">
        <v>2411</v>
      </c>
      <c r="B2506" s="1" t="str">
        <f>"11014026"</f>
        <v>11014026</v>
      </c>
      <c r="C2506" t="s">
        <v>260</v>
      </c>
      <c r="D2506" t="s">
        <v>2426</v>
      </c>
      <c r="E2506" s="2">
        <v>0.045</v>
      </c>
      <c r="F2506" t="s">
        <v>2427</v>
      </c>
      <c r="G2506" t="s">
        <v>2414</v>
      </c>
      <c r="H2506" t="s">
        <v>2414</v>
      </c>
      <c r="I2506"/>
    </row>
    <row r="2507" spans="1:9">
      <c r="A2507" t="s">
        <v>2411</v>
      </c>
      <c r="B2507" s="1" t="str">
        <f>"12014010"</f>
        <v>12014010</v>
      </c>
      <c r="C2507" t="s">
        <v>260</v>
      </c>
      <c r="D2507" t="s">
        <v>2447</v>
      </c>
      <c r="E2507" s="2">
        <v>0.049</v>
      </c>
      <c r="F2507"/>
      <c r="G2507" t="s">
        <v>2414</v>
      </c>
      <c r="H2507" t="s">
        <v>2414</v>
      </c>
      <c r="I2507"/>
    </row>
    <row r="2508" spans="1:9">
      <c r="A2508" t="s">
        <v>2411</v>
      </c>
      <c r="B2508" s="1" t="str">
        <f>"11014011"</f>
        <v>11014011</v>
      </c>
      <c r="C2508" t="s">
        <v>260</v>
      </c>
      <c r="D2508" t="s">
        <v>2428</v>
      </c>
      <c r="E2508" s="2">
        <v>0.065</v>
      </c>
      <c r="F2508"/>
      <c r="G2508" t="s">
        <v>2414</v>
      </c>
      <c r="H2508" t="s">
        <v>2414</v>
      </c>
      <c r="I2508"/>
    </row>
    <row r="2509" spans="1:9">
      <c r="A2509" t="s">
        <v>2411</v>
      </c>
      <c r="B2509" s="1" t="str">
        <f>"12014053"</f>
        <v>12014053</v>
      </c>
      <c r="C2509" t="s">
        <v>260</v>
      </c>
      <c r="D2509" t="s">
        <v>2429</v>
      </c>
      <c r="E2509" s="2">
        <v>0.053</v>
      </c>
      <c r="F2509"/>
      <c r="G2509" t="s">
        <v>2414</v>
      </c>
      <c r="H2509" t="s">
        <v>2414</v>
      </c>
      <c r="I2509"/>
    </row>
    <row r="2510" spans="1:9">
      <c r="A2510" t="s">
        <v>2411</v>
      </c>
      <c r="B2510" s="1" t="str">
        <f>"12014037"</f>
        <v>12014037</v>
      </c>
      <c r="C2510" t="s">
        <v>260</v>
      </c>
      <c r="D2510" t="s">
        <v>2430</v>
      </c>
      <c r="E2510" s="2">
        <v>0.048</v>
      </c>
      <c r="F2510"/>
      <c r="G2510" t="s">
        <v>2414</v>
      </c>
      <c r="H2510" t="s">
        <v>2414</v>
      </c>
      <c r="I2510"/>
    </row>
    <row r="2511" spans="1:9">
      <c r="A2511" t="s">
        <v>2411</v>
      </c>
      <c r="B2511" s="1" t="str">
        <f>"12014036"</f>
        <v>12014036</v>
      </c>
      <c r="C2511" t="s">
        <v>260</v>
      </c>
      <c r="D2511" t="s">
        <v>2448</v>
      </c>
      <c r="E2511" s="2">
        <v>0.048</v>
      </c>
      <c r="F2511"/>
      <c r="G2511" t="s">
        <v>2414</v>
      </c>
      <c r="H2511" t="s">
        <v>2414</v>
      </c>
      <c r="I2511"/>
    </row>
    <row r="2512" spans="1:9">
      <c r="A2512" t="s">
        <v>2411</v>
      </c>
      <c r="B2512" s="1" t="str">
        <f>"11014061"</f>
        <v>11014061</v>
      </c>
      <c r="C2512" t="s">
        <v>260</v>
      </c>
      <c r="D2512" t="s">
        <v>2431</v>
      </c>
      <c r="E2512" s="2">
        <v>0.05</v>
      </c>
      <c r="F2512"/>
      <c r="G2512" t="s">
        <v>2414</v>
      </c>
      <c r="H2512" t="s">
        <v>2414</v>
      </c>
      <c r="I2512"/>
    </row>
    <row r="2513" spans="1:9">
      <c r="A2513" t="s">
        <v>2411</v>
      </c>
      <c r="B2513" s="1" t="str">
        <f>"29910006"</f>
        <v>29910006</v>
      </c>
      <c r="C2513" t="s">
        <v>260</v>
      </c>
      <c r="D2513" t="s">
        <v>2449</v>
      </c>
      <c r="E2513" s="2"/>
      <c r="F2513"/>
      <c r="G2513" t="s">
        <v>2414</v>
      </c>
      <c r="H2513" t="s">
        <v>2414</v>
      </c>
      <c r="I2513"/>
    </row>
    <row r="2514" spans="1:9">
      <c r="A2514" t="s">
        <v>2411</v>
      </c>
      <c r="B2514" s="1" t="str">
        <f>"12014121"</f>
        <v>12014121</v>
      </c>
      <c r="C2514" t="s">
        <v>260</v>
      </c>
      <c r="D2514" t="s">
        <v>2450</v>
      </c>
      <c r="E2514" s="2"/>
      <c r="F2514"/>
      <c r="G2514" t="s">
        <v>2414</v>
      </c>
      <c r="H2514" t="s">
        <v>2414</v>
      </c>
      <c r="I2514"/>
    </row>
    <row r="2515" spans="1:9">
      <c r="A2515" t="s">
        <v>2411</v>
      </c>
      <c r="B2515" s="1" t="str">
        <f>"12014070"</f>
        <v>12014070</v>
      </c>
      <c r="C2515" t="s">
        <v>260</v>
      </c>
      <c r="D2515" t="s">
        <v>2451</v>
      </c>
      <c r="E2515" s="2"/>
      <c r="F2515" t="s">
        <v>328</v>
      </c>
      <c r="G2515"/>
      <c r="H2515" t="s">
        <v>2414</v>
      </c>
      <c r="I2515"/>
    </row>
    <row r="2516" spans="1:9">
      <c r="A2516" t="s">
        <v>2411</v>
      </c>
      <c r="B2516" s="1" t="str">
        <f>"12014014"</f>
        <v>12014014</v>
      </c>
      <c r="C2516" t="s">
        <v>260</v>
      </c>
      <c r="D2516" t="s">
        <v>2452</v>
      </c>
      <c r="E2516" s="2">
        <v>0.041</v>
      </c>
      <c r="F2516" t="s">
        <v>2413</v>
      </c>
      <c r="G2516" t="s">
        <v>2414</v>
      </c>
      <c r="H2516" t="s">
        <v>2414</v>
      </c>
      <c r="I2516"/>
    </row>
    <row r="2517" spans="1:9">
      <c r="A2517" t="s">
        <v>2411</v>
      </c>
      <c r="B2517" s="1" t="str">
        <f>"11014027"</f>
        <v>11014027</v>
      </c>
      <c r="C2517" t="s">
        <v>260</v>
      </c>
      <c r="D2517" t="s">
        <v>2432</v>
      </c>
      <c r="E2517" s="2">
        <v>0.05</v>
      </c>
      <c r="F2517"/>
      <c r="G2517" t="s">
        <v>2414</v>
      </c>
      <c r="H2517" t="s">
        <v>2414</v>
      </c>
      <c r="I2517"/>
    </row>
    <row r="2518" spans="1:9">
      <c r="A2518" t="s">
        <v>2411</v>
      </c>
      <c r="B2518" s="1" t="str">
        <f>"11014025"</f>
        <v>11014025</v>
      </c>
      <c r="C2518" t="s">
        <v>260</v>
      </c>
      <c r="D2518" t="s">
        <v>2453</v>
      </c>
      <c r="E2518" s="2">
        <v>0.05</v>
      </c>
      <c r="F2518"/>
      <c r="G2518" t="s">
        <v>2414</v>
      </c>
      <c r="H2518" t="s">
        <v>2414</v>
      </c>
      <c r="I2518"/>
    </row>
    <row r="2519" spans="1:9">
      <c r="A2519" t="s">
        <v>2411</v>
      </c>
      <c r="B2519" s="1" t="str">
        <f>"11014015"</f>
        <v>11014015</v>
      </c>
      <c r="C2519" t="s">
        <v>260</v>
      </c>
      <c r="D2519" t="s">
        <v>2434</v>
      </c>
      <c r="E2519" s="2">
        <v>0.049</v>
      </c>
      <c r="F2519"/>
      <c r="G2519" t="s">
        <v>2414</v>
      </c>
      <c r="H2519" t="s">
        <v>2414</v>
      </c>
      <c r="I2519"/>
    </row>
    <row r="2520" spans="1:9">
      <c r="A2520" t="s">
        <v>2411</v>
      </c>
      <c r="B2520" s="1" t="str">
        <f>"11014116"</f>
        <v>11014116</v>
      </c>
      <c r="C2520" t="s">
        <v>260</v>
      </c>
      <c r="D2520" t="s">
        <v>2454</v>
      </c>
      <c r="E2520" s="2">
        <v>0.048</v>
      </c>
      <c r="F2520"/>
      <c r="G2520" t="s">
        <v>2414</v>
      </c>
      <c r="H2520" t="s">
        <v>2414</v>
      </c>
      <c r="I2520"/>
    </row>
    <row r="2521" spans="1:9">
      <c r="A2521" t="s">
        <v>2411</v>
      </c>
      <c r="B2521" s="1" t="str">
        <f>"29910026"</f>
        <v>29910026</v>
      </c>
      <c r="C2521" t="s">
        <v>260</v>
      </c>
      <c r="D2521" t="s">
        <v>2455</v>
      </c>
      <c r="E2521" s="2"/>
      <c r="F2521"/>
      <c r="G2521" t="s">
        <v>2414</v>
      </c>
      <c r="H2521" t="s">
        <v>2414</v>
      </c>
      <c r="I2521"/>
    </row>
    <row r="2522" spans="1:9">
      <c r="A2522" t="s">
        <v>2411</v>
      </c>
      <c r="B2522" s="1" t="str">
        <f>"12014063"</f>
        <v>12014063</v>
      </c>
      <c r="C2522" t="s">
        <v>260</v>
      </c>
      <c r="D2522" t="s">
        <v>2456</v>
      </c>
      <c r="E2522" s="2"/>
      <c r="F2522"/>
      <c r="G2522" t="s">
        <v>2414</v>
      </c>
      <c r="H2522" t="s">
        <v>2414</v>
      </c>
      <c r="I2522"/>
    </row>
    <row r="2523" spans="1:9">
      <c r="A2523" t="s">
        <v>2411</v>
      </c>
      <c r="B2523" s="1" t="str">
        <f>"29910027"</f>
        <v>29910027</v>
      </c>
      <c r="C2523" t="s">
        <v>260</v>
      </c>
      <c r="D2523" t="s">
        <v>2457</v>
      </c>
      <c r="E2523" s="2"/>
      <c r="F2523"/>
      <c r="G2523" t="s">
        <v>2414</v>
      </c>
      <c r="H2523" t="s">
        <v>2414</v>
      </c>
      <c r="I2523"/>
    </row>
    <row r="2524" spans="1:9">
      <c r="A2524" t="s">
        <v>2411</v>
      </c>
      <c r="B2524" s="1" t="str">
        <f>"11014084"</f>
        <v>11014084</v>
      </c>
      <c r="C2524" t="s">
        <v>260</v>
      </c>
      <c r="D2524" t="s">
        <v>2458</v>
      </c>
      <c r="E2524" s="2">
        <v>0.053</v>
      </c>
      <c r="F2524"/>
      <c r="G2524" t="s">
        <v>2414</v>
      </c>
      <c r="H2524" t="s">
        <v>2414</v>
      </c>
      <c r="I2524"/>
    </row>
    <row r="2525" spans="1:9">
      <c r="A2525" t="s">
        <v>2411</v>
      </c>
      <c r="B2525" s="1" t="str">
        <f>"11014014"</f>
        <v>11014014</v>
      </c>
      <c r="C2525" t="s">
        <v>260</v>
      </c>
      <c r="D2525" t="s">
        <v>2459</v>
      </c>
      <c r="E2525" s="2">
        <v>0.055</v>
      </c>
      <c r="F2525"/>
      <c r="G2525" t="s">
        <v>2414</v>
      </c>
      <c r="H2525" t="s">
        <v>2414</v>
      </c>
      <c r="I2525"/>
    </row>
    <row r="2526" spans="1:9">
      <c r="A2526" t="s">
        <v>2411</v>
      </c>
      <c r="B2526" s="1" t="str">
        <f>"11014114"</f>
        <v>11014114</v>
      </c>
      <c r="C2526" t="s">
        <v>260</v>
      </c>
      <c r="D2526" t="s">
        <v>2460</v>
      </c>
      <c r="E2526" s="2">
        <v>0.049</v>
      </c>
      <c r="F2526" t="s">
        <v>328</v>
      </c>
      <c r="G2526"/>
      <c r="H2526" t="s">
        <v>2414</v>
      </c>
      <c r="I2526"/>
    </row>
    <row r="2527" spans="1:9">
      <c r="A2527" t="s">
        <v>2411</v>
      </c>
      <c r="B2527" s="1" t="str">
        <f>"11014144"</f>
        <v>11014144</v>
      </c>
      <c r="C2527" t="s">
        <v>260</v>
      </c>
      <c r="D2527" t="s">
        <v>2461</v>
      </c>
      <c r="E2527" s="2">
        <v>0.051</v>
      </c>
      <c r="F2527"/>
      <c r="G2527" t="s">
        <v>2414</v>
      </c>
      <c r="H2527" t="s">
        <v>2414</v>
      </c>
      <c r="I2527"/>
    </row>
    <row r="2528" spans="1:9">
      <c r="A2528" t="s">
        <v>2411</v>
      </c>
      <c r="B2528" s="1" t="str">
        <f>"11014023"</f>
        <v>11014023</v>
      </c>
      <c r="C2528" t="s">
        <v>260</v>
      </c>
      <c r="D2528" t="s">
        <v>2435</v>
      </c>
      <c r="E2528" s="2">
        <v>0.044</v>
      </c>
      <c r="F2528"/>
      <c r="G2528" t="s">
        <v>2414</v>
      </c>
      <c r="H2528" t="s">
        <v>2414</v>
      </c>
      <c r="I2528"/>
    </row>
    <row r="2529" spans="1:9">
      <c r="A2529" t="s">
        <v>2411</v>
      </c>
      <c r="B2529" s="1" t="str">
        <f>"11014059"</f>
        <v>11014059</v>
      </c>
      <c r="C2529" t="s">
        <v>260</v>
      </c>
      <c r="D2529" t="s">
        <v>2462</v>
      </c>
      <c r="E2529" s="2">
        <v>0.048</v>
      </c>
      <c r="F2529"/>
      <c r="G2529" t="s">
        <v>2414</v>
      </c>
      <c r="H2529" t="s">
        <v>2414</v>
      </c>
      <c r="I2529"/>
    </row>
    <row r="2530" spans="1:9">
      <c r="A2530" t="s">
        <v>2411</v>
      </c>
      <c r="B2530" s="1" t="str">
        <f>"12014032"</f>
        <v>12014032</v>
      </c>
      <c r="C2530" t="s">
        <v>260</v>
      </c>
      <c r="D2530" t="s">
        <v>2463</v>
      </c>
      <c r="E2530" s="2">
        <v>0.051</v>
      </c>
      <c r="F2530"/>
      <c r="G2530" t="s">
        <v>2414</v>
      </c>
      <c r="H2530" t="s">
        <v>2414</v>
      </c>
      <c r="I2530"/>
    </row>
    <row r="2531" spans="1:9">
      <c r="A2531" t="s">
        <v>2411</v>
      </c>
      <c r="B2531" s="1" t="str">
        <f>"12014064"</f>
        <v>12014064</v>
      </c>
      <c r="C2531" t="s">
        <v>260</v>
      </c>
      <c r="D2531" t="s">
        <v>2464</v>
      </c>
      <c r="E2531" s="2"/>
      <c r="F2531"/>
      <c r="G2531" t="s">
        <v>2414</v>
      </c>
      <c r="H2531" t="s">
        <v>2414</v>
      </c>
      <c r="I2531"/>
    </row>
    <row r="2532" spans="1:9">
      <c r="A2532" t="s">
        <v>2411</v>
      </c>
      <c r="B2532" s="1" t="str">
        <f>"12019100"</f>
        <v>12019100</v>
      </c>
      <c r="C2532" t="s">
        <v>260</v>
      </c>
      <c r="D2532" t="s">
        <v>2465</v>
      </c>
      <c r="E2532" s="2">
        <v>0.025</v>
      </c>
      <c r="F2532"/>
      <c r="G2532" t="s">
        <v>2414</v>
      </c>
      <c r="H2532" t="s">
        <v>2414</v>
      </c>
      <c r="I2532"/>
    </row>
    <row r="2533" spans="1:9">
      <c r="A2533" t="s">
        <v>2411</v>
      </c>
      <c r="B2533" s="1" t="str">
        <f>"12014059"</f>
        <v>12014059</v>
      </c>
      <c r="C2533" t="s">
        <v>260</v>
      </c>
      <c r="D2533" t="s">
        <v>2466</v>
      </c>
      <c r="E2533" s="2"/>
      <c r="F2533" t="s">
        <v>2437</v>
      </c>
      <c r="G2533" t="s">
        <v>2414</v>
      </c>
      <c r="H2533" t="s">
        <v>2414</v>
      </c>
      <c r="I2533"/>
    </row>
    <row r="2534" spans="1:9">
      <c r="A2534" t="s">
        <v>2411</v>
      </c>
      <c r="B2534" s="1" t="str">
        <f>"29910011"</f>
        <v>29910011</v>
      </c>
      <c r="C2534" t="s">
        <v>260</v>
      </c>
      <c r="D2534" t="s">
        <v>2467</v>
      </c>
      <c r="E2534" s="2"/>
      <c r="F2534"/>
      <c r="G2534" t="s">
        <v>2414</v>
      </c>
      <c r="H2534" t="s">
        <v>2414</v>
      </c>
      <c r="I2534"/>
    </row>
    <row r="2535" spans="1:9">
      <c r="A2535" t="s">
        <v>2411</v>
      </c>
      <c r="B2535" s="1" t="str">
        <f>"12014060"</f>
        <v>12014060</v>
      </c>
      <c r="C2535" t="s">
        <v>260</v>
      </c>
      <c r="D2535" t="s">
        <v>2468</v>
      </c>
      <c r="E2535" s="2"/>
      <c r="F2535"/>
      <c r="G2535" t="s">
        <v>2414</v>
      </c>
      <c r="H2535" t="s">
        <v>2414</v>
      </c>
      <c r="I2535"/>
    </row>
    <row r="2536" spans="1:9">
      <c r="A2536" t="s">
        <v>2411</v>
      </c>
      <c r="B2536" s="1" t="str">
        <f>"29910016"</f>
        <v>29910016</v>
      </c>
      <c r="C2536" t="s">
        <v>260</v>
      </c>
      <c r="D2536" t="s">
        <v>2436</v>
      </c>
      <c r="E2536" s="2"/>
      <c r="F2536" t="s">
        <v>2437</v>
      </c>
      <c r="G2536" t="s">
        <v>2414</v>
      </c>
      <c r="H2536" t="s">
        <v>2414</v>
      </c>
      <c r="I2536"/>
    </row>
    <row r="2537" spans="1:9">
      <c r="A2537" t="s">
        <v>2411</v>
      </c>
      <c r="B2537" s="1" t="str">
        <f>"11014055"</f>
        <v>11014055</v>
      </c>
      <c r="C2537" t="s">
        <v>260</v>
      </c>
      <c r="D2537" t="s">
        <v>2469</v>
      </c>
      <c r="E2537" s="2">
        <v>0.048</v>
      </c>
      <c r="F2537"/>
      <c r="G2537" t="s">
        <v>2414</v>
      </c>
      <c r="H2537" t="s">
        <v>2414</v>
      </c>
      <c r="I2537"/>
    </row>
    <row r="2538" spans="1:9">
      <c r="A2538" t="s">
        <v>2411</v>
      </c>
      <c r="B2538" s="1" t="str">
        <f>"11014017"</f>
        <v>11014017</v>
      </c>
      <c r="C2538" t="s">
        <v>260</v>
      </c>
      <c r="D2538" t="s">
        <v>2470</v>
      </c>
      <c r="E2538" s="2">
        <v>0.048</v>
      </c>
      <c r="F2538"/>
      <c r="G2538" t="s">
        <v>2414</v>
      </c>
      <c r="H2538" t="s">
        <v>2414</v>
      </c>
      <c r="I2538"/>
    </row>
    <row r="2539" spans="1:9">
      <c r="A2539" t="s">
        <v>2471</v>
      </c>
      <c r="B2539" s="1" t="str">
        <f>"12014009"</f>
        <v>12014009</v>
      </c>
      <c r="C2539" t="s">
        <v>260</v>
      </c>
      <c r="D2539" t="s">
        <v>2472</v>
      </c>
      <c r="E2539" s="2">
        <v>0.003</v>
      </c>
      <c r="F2539"/>
      <c r="G2539" t="s">
        <v>2414</v>
      </c>
      <c r="H2539" t="s">
        <v>2414</v>
      </c>
      <c r="I2539"/>
    </row>
    <row r="2540" spans="1:9">
      <c r="A2540" t="s">
        <v>2471</v>
      </c>
      <c r="B2540" s="1" t="str">
        <f>"12014195"</f>
        <v>12014195</v>
      </c>
      <c r="C2540" t="s">
        <v>260</v>
      </c>
      <c r="D2540" t="s">
        <v>2420</v>
      </c>
      <c r="E2540" s="2"/>
      <c r="F2540"/>
      <c r="G2540" t="s">
        <v>2414</v>
      </c>
      <c r="H2540" t="s">
        <v>2414</v>
      </c>
      <c r="I2540"/>
    </row>
    <row r="2541" spans="1:9">
      <c r="A2541" t="s">
        <v>2471</v>
      </c>
      <c r="B2541" s="1" t="str">
        <f>"12014047"</f>
        <v>12014047</v>
      </c>
      <c r="C2541" t="s">
        <v>260</v>
      </c>
      <c r="D2541" t="s">
        <v>2473</v>
      </c>
      <c r="E2541" s="2">
        <v>0.004</v>
      </c>
      <c r="F2541" t="s">
        <v>328</v>
      </c>
      <c r="G2541" t="s">
        <v>2414</v>
      </c>
      <c r="H2541" t="s">
        <v>2414</v>
      </c>
      <c r="I2541"/>
    </row>
    <row r="2542" spans="1:9">
      <c r="A2542" t="s">
        <v>2471</v>
      </c>
      <c r="B2542" s="1" t="str">
        <f>"29910022"</f>
        <v>29910022</v>
      </c>
      <c r="C2542" t="s">
        <v>260</v>
      </c>
      <c r="D2542" t="s">
        <v>2474</v>
      </c>
      <c r="E2542" s="2"/>
      <c r="F2542" t="s">
        <v>328</v>
      </c>
      <c r="G2542"/>
      <c r="H2542" t="s">
        <v>2414</v>
      </c>
      <c r="I2542"/>
    </row>
    <row r="2543" spans="1:9">
      <c r="A2543" t="s">
        <v>2471</v>
      </c>
      <c r="B2543" s="1" t="str">
        <f>"12014042"</f>
        <v>12014042</v>
      </c>
      <c r="C2543" t="s">
        <v>260</v>
      </c>
      <c r="D2543" t="s">
        <v>2433</v>
      </c>
      <c r="E2543" s="2"/>
      <c r="F2543"/>
      <c r="G2543" t="s">
        <v>2414</v>
      </c>
      <c r="H2543" t="s">
        <v>2414</v>
      </c>
      <c r="I2543"/>
    </row>
    <row r="2544" spans="1:9">
      <c r="A2544" t="s">
        <v>2471</v>
      </c>
      <c r="B2544" s="1" t="str">
        <f>"12014033"</f>
        <v>12014033</v>
      </c>
      <c r="C2544" t="s">
        <v>260</v>
      </c>
      <c r="D2544" t="s">
        <v>2475</v>
      </c>
      <c r="E2544" s="2"/>
      <c r="F2544" t="s">
        <v>2413</v>
      </c>
      <c r="G2544"/>
      <c r="H2544" t="s">
        <v>2414</v>
      </c>
      <c r="I2544"/>
    </row>
    <row r="2545" spans="1:9">
      <c r="A2545" t="s">
        <v>2471</v>
      </c>
      <c r="B2545" s="1" t="str">
        <f>"12014045"</f>
        <v>12014045</v>
      </c>
      <c r="C2545" t="s">
        <v>260</v>
      </c>
      <c r="D2545" t="s">
        <v>2476</v>
      </c>
      <c r="E2545" s="2"/>
      <c r="F2545"/>
      <c r="G2545" t="s">
        <v>2414</v>
      </c>
      <c r="H2545" t="s">
        <v>2414</v>
      </c>
      <c r="I2545"/>
    </row>
    <row r="2546" spans="1:9">
      <c r="A2546" t="s">
        <v>2471</v>
      </c>
      <c r="B2546" s="1" t="str">
        <f>"12014081"</f>
        <v>12014081</v>
      </c>
      <c r="C2546" t="s">
        <v>260</v>
      </c>
      <c r="D2546" t="s">
        <v>2477</v>
      </c>
      <c r="E2546" s="2"/>
      <c r="F2546" t="s">
        <v>2437</v>
      </c>
      <c r="G2546"/>
      <c r="H2546" t="s">
        <v>2478</v>
      </c>
      <c r="I2546"/>
    </row>
    <row r="2547" spans="1:9">
      <c r="A2547" t="s">
        <v>2471</v>
      </c>
      <c r="B2547" s="1" t="str">
        <f>"12019222"</f>
        <v>12019222</v>
      </c>
      <c r="C2547" t="s">
        <v>260</v>
      </c>
      <c r="D2547" t="s">
        <v>2479</v>
      </c>
      <c r="E2547" s="2"/>
      <c r="F2547"/>
      <c r="G2547" t="s">
        <v>2414</v>
      </c>
      <c r="H2547" t="s">
        <v>2414</v>
      </c>
      <c r="I2547"/>
    </row>
    <row r="2548" spans="1:9">
      <c r="A2548" t="s">
        <v>2480</v>
      </c>
      <c r="B2548" s="1" t="str">
        <f>"20157043"</f>
        <v>20157043</v>
      </c>
      <c r="C2548" t="s">
        <v>2481</v>
      </c>
      <c r="D2548" t="s">
        <v>2482</v>
      </c>
      <c r="E2548" s="2"/>
      <c r="F2548"/>
      <c r="G2548" t="s">
        <v>2483</v>
      </c>
      <c r="H2548" t="s">
        <v>2483</v>
      </c>
      <c r="I2548"/>
    </row>
    <row r="2549" spans="1:9">
      <c r="A2549" t="s">
        <v>2480</v>
      </c>
      <c r="B2549" s="1" t="str">
        <f>"20157036"</f>
        <v>20157036</v>
      </c>
      <c r="C2549" t="s">
        <v>2481</v>
      </c>
      <c r="D2549" t="s">
        <v>2484</v>
      </c>
      <c r="E2549" s="2"/>
      <c r="F2549"/>
      <c r="G2549" t="s">
        <v>2483</v>
      </c>
      <c r="H2549" t="s">
        <v>2483</v>
      </c>
      <c r="I2549"/>
    </row>
    <row r="2550" spans="1:9">
      <c r="A2550" t="s">
        <v>2480</v>
      </c>
      <c r="B2550" s="1" t="str">
        <f>"20157029"</f>
        <v>20157029</v>
      </c>
      <c r="C2550" t="s">
        <v>2481</v>
      </c>
      <c r="D2550" t="s">
        <v>2485</v>
      </c>
      <c r="E2550" s="2"/>
      <c r="F2550"/>
      <c r="G2550" t="s">
        <v>2483</v>
      </c>
      <c r="H2550" t="s">
        <v>2483</v>
      </c>
      <c r="I2550"/>
    </row>
    <row r="2551" spans="1:9">
      <c r="A2551" t="s">
        <v>2480</v>
      </c>
      <c r="B2551" s="1" t="str">
        <f>"20156992"</f>
        <v>20156992</v>
      </c>
      <c r="C2551" t="s">
        <v>2481</v>
      </c>
      <c r="D2551" t="s">
        <v>2486</v>
      </c>
      <c r="E2551" s="2"/>
      <c r="F2551"/>
      <c r="G2551" t="s">
        <v>2483</v>
      </c>
      <c r="H2551" t="s">
        <v>2483</v>
      </c>
      <c r="I2551"/>
    </row>
    <row r="2552" spans="1:9">
      <c r="A2552" t="s">
        <v>2480</v>
      </c>
      <c r="B2552" s="1" t="str">
        <f>"20294847"</f>
        <v>20294847</v>
      </c>
      <c r="C2552" t="s">
        <v>875</v>
      </c>
      <c r="D2552" t="s">
        <v>876</v>
      </c>
      <c r="E2552" s="2"/>
      <c r="F2552" t="s">
        <v>877</v>
      </c>
      <c r="G2552" t="s">
        <v>878</v>
      </c>
      <c r="H2552" t="s">
        <v>878</v>
      </c>
      <c r="I2552"/>
    </row>
    <row r="2553" spans="1:9">
      <c r="A2553" t="s">
        <v>2480</v>
      </c>
      <c r="B2553" s="1" t="str">
        <f>"20294830"</f>
        <v>20294830</v>
      </c>
      <c r="C2553" t="s">
        <v>875</v>
      </c>
      <c r="D2553" t="s">
        <v>879</v>
      </c>
      <c r="E2553" s="2"/>
      <c r="F2553" t="s">
        <v>880</v>
      </c>
      <c r="G2553" t="s">
        <v>623</v>
      </c>
      <c r="H2553" t="s">
        <v>623</v>
      </c>
      <c r="I2553"/>
    </row>
    <row r="2554" spans="1:9">
      <c r="A2554" t="s">
        <v>2480</v>
      </c>
      <c r="B2554" s="1" t="str">
        <f>"20050917"</f>
        <v>20050917</v>
      </c>
      <c r="C2554" t="s">
        <v>225</v>
      </c>
      <c r="D2554" t="s">
        <v>2487</v>
      </c>
      <c r="E2554" s="2"/>
      <c r="F2554" t="s">
        <v>105</v>
      </c>
      <c r="G2554" t="s">
        <v>122</v>
      </c>
      <c r="H2554" t="s">
        <v>122</v>
      </c>
      <c r="I2554"/>
    </row>
    <row r="2555" spans="1:9">
      <c r="A2555" t="s">
        <v>2480</v>
      </c>
      <c r="B2555" s="1" t="str">
        <f>"20507114"</f>
        <v>20507114</v>
      </c>
      <c r="C2555" t="s">
        <v>225</v>
      </c>
      <c r="D2555" t="s">
        <v>2488</v>
      </c>
      <c r="E2555" s="2"/>
      <c r="F2555" t="s">
        <v>105</v>
      </c>
      <c r="G2555" t="s">
        <v>122</v>
      </c>
      <c r="H2555" t="s">
        <v>122</v>
      </c>
      <c r="I2555"/>
    </row>
    <row r="2556" spans="1:9">
      <c r="A2556" t="s">
        <v>2489</v>
      </c>
      <c r="B2556" s="1" t="str">
        <f>"11006017"</f>
        <v>11006017</v>
      </c>
      <c r="C2556" t="s">
        <v>260</v>
      </c>
      <c r="D2556" t="s">
        <v>2490</v>
      </c>
      <c r="E2556" s="2"/>
      <c r="F2556" t="s">
        <v>90</v>
      </c>
      <c r="G2556" t="s">
        <v>156</v>
      </c>
      <c r="H2556" t="s">
        <v>156</v>
      </c>
      <c r="I2556"/>
    </row>
    <row r="2557" spans="1:9">
      <c r="A2557" t="s">
        <v>2489</v>
      </c>
      <c r="B2557" s="1" t="str">
        <f>"11006018"</f>
        <v>11006018</v>
      </c>
      <c r="C2557" t="s">
        <v>260</v>
      </c>
      <c r="D2557" t="s">
        <v>2491</v>
      </c>
      <c r="E2557" s="2"/>
      <c r="F2557" t="s">
        <v>90</v>
      </c>
      <c r="G2557" t="s">
        <v>122</v>
      </c>
      <c r="H2557" t="s">
        <v>122</v>
      </c>
      <c r="I2557"/>
    </row>
    <row r="2558" spans="1:9">
      <c r="A2558" t="s">
        <v>2489</v>
      </c>
      <c r="B2558" s="1" t="str">
        <f>"12006025"</f>
        <v>12006025</v>
      </c>
      <c r="C2558" t="s">
        <v>260</v>
      </c>
      <c r="D2558" t="s">
        <v>2492</v>
      </c>
      <c r="E2558" s="2"/>
      <c r="F2558" t="s">
        <v>52</v>
      </c>
      <c r="G2558" t="s">
        <v>148</v>
      </c>
      <c r="H2558" t="s">
        <v>287</v>
      </c>
      <c r="I2558"/>
    </row>
    <row r="2559" spans="1:9">
      <c r="A2559" t="s">
        <v>2489</v>
      </c>
      <c r="B2559" s="1" t="str">
        <f>"20212805"</f>
        <v>20212805</v>
      </c>
      <c r="C2559" t="s">
        <v>10</v>
      </c>
      <c r="D2559" t="s">
        <v>2493</v>
      </c>
      <c r="E2559" s="2"/>
      <c r="F2559" t="s">
        <v>264</v>
      </c>
      <c r="G2559"/>
      <c r="H2559" t="s">
        <v>590</v>
      </c>
      <c r="I2559"/>
    </row>
    <row r="2560" spans="1:9">
      <c r="A2560" t="s">
        <v>2489</v>
      </c>
      <c r="B2560" s="1" t="str">
        <f>"20039524"</f>
        <v>20039524</v>
      </c>
      <c r="C2560" t="s">
        <v>2494</v>
      </c>
      <c r="D2560" t="s">
        <v>2495</v>
      </c>
      <c r="E2560" s="2"/>
      <c r="F2560" t="s">
        <v>22</v>
      </c>
      <c r="G2560" t="s">
        <v>80</v>
      </c>
      <c r="H2560" t="s">
        <v>80</v>
      </c>
      <c r="I2560"/>
    </row>
    <row r="2561" spans="1:9">
      <c r="A2561" t="s">
        <v>2489</v>
      </c>
      <c r="B2561" s="1" t="str">
        <f>"20039523"</f>
        <v>20039523</v>
      </c>
      <c r="C2561" t="s">
        <v>2494</v>
      </c>
      <c r="D2561" t="s">
        <v>2496</v>
      </c>
      <c r="E2561" s="2"/>
      <c r="F2561" t="s">
        <v>22</v>
      </c>
      <c r="G2561" t="s">
        <v>80</v>
      </c>
      <c r="H2561" t="s">
        <v>80</v>
      </c>
      <c r="I2561"/>
    </row>
    <row r="2562" spans="1:9">
      <c r="A2562" t="s">
        <v>2489</v>
      </c>
      <c r="B2562" s="1" t="str">
        <f>"20039394"</f>
        <v>20039394</v>
      </c>
      <c r="C2562" t="s">
        <v>2497</v>
      </c>
      <c r="D2562" t="s">
        <v>2498</v>
      </c>
      <c r="E2562" s="2"/>
      <c r="F2562" t="s">
        <v>22</v>
      </c>
      <c r="G2562" t="s">
        <v>80</v>
      </c>
      <c r="H2562" t="s">
        <v>80</v>
      </c>
      <c r="I2562"/>
    </row>
    <row r="2563" spans="1:9">
      <c r="A2563" t="s">
        <v>2489</v>
      </c>
      <c r="B2563" s="1" t="str">
        <f>"20014742"</f>
        <v>20014742</v>
      </c>
      <c r="C2563" t="s">
        <v>2499</v>
      </c>
      <c r="D2563" t="s">
        <v>2500</v>
      </c>
      <c r="E2563" s="2"/>
      <c r="F2563" t="s">
        <v>22</v>
      </c>
      <c r="G2563" t="s">
        <v>80</v>
      </c>
      <c r="H2563" t="s">
        <v>80</v>
      </c>
      <c r="I2563"/>
    </row>
    <row r="2564" spans="1:9">
      <c r="A2564" t="s">
        <v>2489</v>
      </c>
      <c r="B2564" s="1" t="str">
        <f>"20040796"</f>
        <v>20040796</v>
      </c>
      <c r="C2564" t="s">
        <v>2499</v>
      </c>
      <c r="D2564" t="s">
        <v>2501</v>
      </c>
      <c r="E2564" s="2"/>
      <c r="F2564" t="s">
        <v>22</v>
      </c>
      <c r="G2564" t="s">
        <v>80</v>
      </c>
      <c r="H2564" t="s">
        <v>80</v>
      </c>
      <c r="I2564"/>
    </row>
    <row r="2565" spans="1:9">
      <c r="A2565" t="s">
        <v>2489</v>
      </c>
      <c r="B2565" s="1" t="str">
        <f>"20212806"</f>
        <v>20212806</v>
      </c>
      <c r="C2565" t="s">
        <v>989</v>
      </c>
      <c r="D2565" t="s">
        <v>2502</v>
      </c>
      <c r="E2565" s="2"/>
      <c r="F2565" t="s">
        <v>264</v>
      </c>
      <c r="G2565"/>
      <c r="H2565" t="s">
        <v>590</v>
      </c>
      <c r="I2565"/>
    </row>
    <row r="2566" spans="1:9">
      <c r="A2566" t="s">
        <v>2489</v>
      </c>
      <c r="B2566" s="1" t="str">
        <f>"11006022"</f>
        <v>11006022</v>
      </c>
      <c r="C2566" t="s">
        <v>2503</v>
      </c>
      <c r="D2566" t="s">
        <v>2504</v>
      </c>
      <c r="E2566" s="2"/>
      <c r="F2566" t="s">
        <v>22</v>
      </c>
      <c r="G2566" t="s">
        <v>80</v>
      </c>
      <c r="H2566" t="s">
        <v>80</v>
      </c>
      <c r="I2566"/>
    </row>
    <row r="2567" spans="1:9">
      <c r="A2567" t="s">
        <v>2489</v>
      </c>
      <c r="B2567" s="1" t="str">
        <f>"20117474"</f>
        <v>20117474</v>
      </c>
      <c r="C2567" t="s">
        <v>225</v>
      </c>
      <c r="D2567" t="s">
        <v>2505</v>
      </c>
      <c r="E2567" s="2"/>
      <c r="F2567" t="s">
        <v>22</v>
      </c>
      <c r="G2567" t="s">
        <v>80</v>
      </c>
      <c r="H2567" t="s">
        <v>80</v>
      </c>
      <c r="I2567"/>
    </row>
    <row r="2568" spans="1:9">
      <c r="A2568" t="s">
        <v>2489</v>
      </c>
      <c r="B2568" s="1" t="str">
        <f>"20071677"</f>
        <v>20071677</v>
      </c>
      <c r="C2568" t="s">
        <v>225</v>
      </c>
      <c r="D2568" t="s">
        <v>2506</v>
      </c>
      <c r="E2568" s="2"/>
      <c r="F2568" t="s">
        <v>22</v>
      </c>
      <c r="G2568" t="s">
        <v>80</v>
      </c>
      <c r="H2568" t="s">
        <v>80</v>
      </c>
      <c r="I2568"/>
    </row>
    <row r="2569" spans="1:9">
      <c r="A2569" t="s">
        <v>2489</v>
      </c>
      <c r="B2569" s="1" t="str">
        <f>"20065300"</f>
        <v>20065300</v>
      </c>
      <c r="C2569" t="s">
        <v>225</v>
      </c>
      <c r="D2569" t="s">
        <v>2507</v>
      </c>
      <c r="E2569" s="2"/>
      <c r="F2569" t="s">
        <v>22</v>
      </c>
      <c r="G2569" t="s">
        <v>80</v>
      </c>
      <c r="H2569" t="s">
        <v>80</v>
      </c>
      <c r="I2569"/>
    </row>
    <row r="2570" spans="1:9">
      <c r="A2570" t="s">
        <v>2489</v>
      </c>
      <c r="B2570" s="1" t="str">
        <f>"20071678"</f>
        <v>20071678</v>
      </c>
      <c r="C2570" t="s">
        <v>225</v>
      </c>
      <c r="D2570" t="s">
        <v>2508</v>
      </c>
      <c r="E2570" s="2"/>
      <c r="F2570" t="s">
        <v>22</v>
      </c>
      <c r="G2570" t="s">
        <v>80</v>
      </c>
      <c r="H2570" t="s">
        <v>80</v>
      </c>
      <c r="I2570"/>
    </row>
    <row r="2571" spans="1:9">
      <c r="A2571" t="s">
        <v>2489</v>
      </c>
      <c r="B2571" s="1" t="str">
        <f>"20075507"</f>
        <v>20075507</v>
      </c>
      <c r="C2571" t="s">
        <v>2509</v>
      </c>
      <c r="D2571" t="s">
        <v>2510</v>
      </c>
      <c r="E2571" s="2"/>
      <c r="F2571" t="s">
        <v>22</v>
      </c>
      <c r="G2571" t="s">
        <v>80</v>
      </c>
      <c r="H2571" t="s">
        <v>80</v>
      </c>
      <c r="I2571"/>
    </row>
    <row r="2572" spans="1:9">
      <c r="A2572" t="s">
        <v>2489</v>
      </c>
      <c r="B2572" s="1" t="str">
        <f>"11006005"</f>
        <v>11006005</v>
      </c>
      <c r="C2572" t="s">
        <v>2509</v>
      </c>
      <c r="D2572" t="s">
        <v>2511</v>
      </c>
      <c r="E2572" s="2"/>
      <c r="F2572" t="s">
        <v>22</v>
      </c>
      <c r="G2572" t="s">
        <v>80</v>
      </c>
      <c r="H2572" t="s">
        <v>80</v>
      </c>
      <c r="I2572"/>
    </row>
    <row r="2573" spans="1:9">
      <c r="A2573" t="s">
        <v>2489</v>
      </c>
      <c r="B2573" s="1" t="str">
        <f>"11006001"</f>
        <v>11006001</v>
      </c>
      <c r="C2573" t="s">
        <v>2509</v>
      </c>
      <c r="D2573" t="s">
        <v>2512</v>
      </c>
      <c r="E2573" s="2"/>
      <c r="F2573" t="s">
        <v>22</v>
      </c>
      <c r="G2573" t="s">
        <v>80</v>
      </c>
      <c r="H2573" t="s">
        <v>80</v>
      </c>
      <c r="I2573"/>
    </row>
    <row r="2574" spans="1:9">
      <c r="A2574" t="s">
        <v>2489</v>
      </c>
      <c r="B2574" s="1" t="str">
        <f>"11006006"</f>
        <v>11006006</v>
      </c>
      <c r="C2574" t="s">
        <v>2509</v>
      </c>
      <c r="D2574" t="s">
        <v>2513</v>
      </c>
      <c r="E2574" s="2"/>
      <c r="F2574" t="s">
        <v>22</v>
      </c>
      <c r="G2574" t="s">
        <v>80</v>
      </c>
      <c r="H2574" t="s">
        <v>80</v>
      </c>
      <c r="I2574"/>
    </row>
    <row r="2575" spans="1:9">
      <c r="A2575" t="s">
        <v>2489</v>
      </c>
      <c r="B2575" s="1" t="str">
        <f>"11006020"</f>
        <v>11006020</v>
      </c>
      <c r="C2575" t="s">
        <v>2509</v>
      </c>
      <c r="D2575" t="s">
        <v>2514</v>
      </c>
      <c r="E2575" s="2"/>
      <c r="F2575" t="s">
        <v>22</v>
      </c>
      <c r="G2575" t="s">
        <v>80</v>
      </c>
      <c r="H2575" t="s">
        <v>80</v>
      </c>
      <c r="I2575"/>
    </row>
    <row r="2576" spans="1:9">
      <c r="A2576" t="s">
        <v>2489</v>
      </c>
      <c r="B2576" s="1" t="str">
        <f>"20661830"</f>
        <v>20661830</v>
      </c>
      <c r="C2576" t="s">
        <v>2515</v>
      </c>
      <c r="D2576" t="s">
        <v>2516</v>
      </c>
      <c r="E2576" s="2"/>
      <c r="F2576" t="s">
        <v>90</v>
      </c>
      <c r="G2576" t="s">
        <v>322</v>
      </c>
      <c r="H2576" t="s">
        <v>322</v>
      </c>
      <c r="I2576"/>
    </row>
    <row r="2577" spans="1:9">
      <c r="A2577" t="s">
        <v>2489</v>
      </c>
      <c r="B2577" s="1" t="str">
        <f>"20662028"</f>
        <v>20662028</v>
      </c>
      <c r="C2577" t="s">
        <v>2515</v>
      </c>
      <c r="D2577" t="s">
        <v>2517</v>
      </c>
      <c r="E2577" s="2"/>
      <c r="F2577" t="s">
        <v>90</v>
      </c>
      <c r="G2577" t="s">
        <v>156</v>
      </c>
      <c r="H2577" t="s">
        <v>156</v>
      </c>
      <c r="I2577"/>
    </row>
    <row r="2578" spans="1:9">
      <c r="A2578" t="s">
        <v>2489</v>
      </c>
      <c r="B2578" s="1" t="str">
        <f>"12006043"</f>
        <v>12006043</v>
      </c>
      <c r="C2578" t="s">
        <v>2515</v>
      </c>
      <c r="D2578" t="s">
        <v>2518</v>
      </c>
      <c r="E2578" s="2"/>
      <c r="F2578" t="s">
        <v>90</v>
      </c>
      <c r="G2578" t="s">
        <v>177</v>
      </c>
      <c r="H2578" t="s">
        <v>177</v>
      </c>
      <c r="I2578"/>
    </row>
    <row r="2579" spans="1:9">
      <c r="A2579" t="s">
        <v>2489</v>
      </c>
      <c r="B2579" s="1" t="str">
        <f>"11006016"</f>
        <v>11006016</v>
      </c>
      <c r="C2579" t="s">
        <v>2519</v>
      </c>
      <c r="D2579" t="s">
        <v>2520</v>
      </c>
      <c r="E2579" s="2"/>
      <c r="F2579" t="s">
        <v>22</v>
      </c>
      <c r="G2579" t="s">
        <v>80</v>
      </c>
      <c r="H2579" t="s">
        <v>80</v>
      </c>
      <c r="I2579"/>
    </row>
    <row r="2580" spans="1:9">
      <c r="A2580" t="s">
        <v>2489</v>
      </c>
      <c r="B2580" s="1" t="str">
        <f>"20037697"</f>
        <v>20037697</v>
      </c>
      <c r="C2580" t="s">
        <v>2519</v>
      </c>
      <c r="D2580" t="s">
        <v>2521</v>
      </c>
      <c r="E2580" s="2"/>
      <c r="F2580" t="s">
        <v>22</v>
      </c>
      <c r="G2580" t="s">
        <v>80</v>
      </c>
      <c r="H2580" t="s">
        <v>80</v>
      </c>
      <c r="I2580"/>
    </row>
    <row r="2581" spans="1:9">
      <c r="A2581" t="s">
        <v>2489</v>
      </c>
      <c r="B2581" s="1" t="str">
        <f>"20037161"</f>
        <v>20037161</v>
      </c>
      <c r="C2581" t="s">
        <v>2519</v>
      </c>
      <c r="D2581" t="s">
        <v>2522</v>
      </c>
      <c r="E2581" s="2"/>
      <c r="F2581" t="s">
        <v>22</v>
      </c>
      <c r="G2581" t="s">
        <v>80</v>
      </c>
      <c r="H2581" t="s">
        <v>80</v>
      </c>
      <c r="I2581"/>
    </row>
    <row r="2582" spans="1:9">
      <c r="A2582" t="s">
        <v>2489</v>
      </c>
      <c r="B2582" s="1" t="str">
        <f>"20029609"</f>
        <v>20029609</v>
      </c>
      <c r="C2582" t="s">
        <v>2523</v>
      </c>
      <c r="D2582" t="s">
        <v>2524</v>
      </c>
      <c r="E2582" s="2"/>
      <c r="F2582" t="s">
        <v>22</v>
      </c>
      <c r="G2582" t="s">
        <v>80</v>
      </c>
      <c r="H2582" t="s">
        <v>80</v>
      </c>
      <c r="I2582"/>
    </row>
    <row r="2583" spans="1:9">
      <c r="A2583" t="s">
        <v>2525</v>
      </c>
      <c r="B2583" s="1" t="str">
        <f>"11006027"</f>
        <v>11006027</v>
      </c>
      <c r="C2583" t="s">
        <v>260</v>
      </c>
      <c r="D2583" t="s">
        <v>2526</v>
      </c>
      <c r="E2583" s="2"/>
      <c r="F2583" t="s">
        <v>52</v>
      </c>
      <c r="G2583" t="s">
        <v>262</v>
      </c>
      <c r="H2583" t="s">
        <v>262</v>
      </c>
      <c r="I2583"/>
    </row>
    <row r="2584" spans="1:9">
      <c r="A2584" t="s">
        <v>2525</v>
      </c>
      <c r="B2584" s="1" t="str">
        <f>"11006029"</f>
        <v>11006029</v>
      </c>
      <c r="C2584" t="s">
        <v>260</v>
      </c>
      <c r="D2584" t="s">
        <v>2527</v>
      </c>
      <c r="E2584" s="2"/>
      <c r="F2584" t="s">
        <v>52</v>
      </c>
      <c r="G2584" t="s">
        <v>262</v>
      </c>
      <c r="H2584" t="s">
        <v>262</v>
      </c>
      <c r="I2584"/>
    </row>
    <row r="2585" spans="1:9">
      <c r="A2585" t="s">
        <v>2525</v>
      </c>
      <c r="B2585" s="1" t="str">
        <f>"11006032"</f>
        <v>11006032</v>
      </c>
      <c r="C2585" t="s">
        <v>260</v>
      </c>
      <c r="D2585" t="s">
        <v>2528</v>
      </c>
      <c r="E2585" s="2"/>
      <c r="F2585" t="s">
        <v>52</v>
      </c>
      <c r="G2585" t="s">
        <v>262</v>
      </c>
      <c r="H2585" t="s">
        <v>262</v>
      </c>
      <c r="I2585"/>
    </row>
    <row r="2586" spans="1:9">
      <c r="A2586" t="s">
        <v>2525</v>
      </c>
      <c r="B2586" s="1" t="str">
        <f>"11006035"</f>
        <v>11006035</v>
      </c>
      <c r="C2586" t="s">
        <v>260</v>
      </c>
      <c r="D2586" t="s">
        <v>2529</v>
      </c>
      <c r="E2586" s="2"/>
      <c r="F2586" t="s">
        <v>22</v>
      </c>
      <c r="G2586" t="s">
        <v>19</v>
      </c>
      <c r="H2586" t="s">
        <v>19</v>
      </c>
      <c r="I2586"/>
    </row>
    <row r="2587" spans="1:9">
      <c r="A2587" t="s">
        <v>2525</v>
      </c>
      <c r="B2587" s="1" t="str">
        <f>"20820785"</f>
        <v>20820785</v>
      </c>
      <c r="C2587" t="s">
        <v>2494</v>
      </c>
      <c r="D2587" t="s">
        <v>2530</v>
      </c>
      <c r="E2587" s="2"/>
      <c r="F2587" t="s">
        <v>22</v>
      </c>
      <c r="G2587" t="s">
        <v>80</v>
      </c>
      <c r="H2587" t="s">
        <v>80</v>
      </c>
      <c r="I2587"/>
    </row>
    <row r="2588" spans="1:9">
      <c r="A2588" t="s">
        <v>2525</v>
      </c>
      <c r="B2588" s="1" t="str">
        <f>"24603555"</f>
        <v>24603555</v>
      </c>
      <c r="C2588" t="s">
        <v>225</v>
      </c>
      <c r="D2588" t="s">
        <v>2531</v>
      </c>
      <c r="E2588" s="2"/>
      <c r="F2588" t="s">
        <v>52</v>
      </c>
      <c r="G2588" t="s">
        <v>262</v>
      </c>
      <c r="H2588" t="s">
        <v>262</v>
      </c>
      <c r="I2588"/>
    </row>
    <row r="2589" spans="1:9">
      <c r="A2589" t="s">
        <v>2525</v>
      </c>
      <c r="B2589" s="1" t="str">
        <f>"24603524"</f>
        <v>24603524</v>
      </c>
      <c r="C2589" t="s">
        <v>225</v>
      </c>
      <c r="D2589" t="s">
        <v>2532</v>
      </c>
      <c r="E2589" s="2"/>
      <c r="F2589" t="s">
        <v>52</v>
      </c>
      <c r="G2589" t="s">
        <v>997</v>
      </c>
      <c r="H2589" t="s">
        <v>997</v>
      </c>
      <c r="I2589"/>
    </row>
    <row r="2590" spans="1:9">
      <c r="A2590" t="s">
        <v>2525</v>
      </c>
      <c r="B2590" s="1" t="str">
        <f>"20661152"</f>
        <v>20661152</v>
      </c>
      <c r="C2590" t="s">
        <v>2515</v>
      </c>
      <c r="D2590" t="s">
        <v>2533</v>
      </c>
      <c r="E2590" s="2"/>
      <c r="F2590" t="s">
        <v>52</v>
      </c>
      <c r="G2590"/>
      <c r="H2590" t="s">
        <v>54</v>
      </c>
      <c r="I2590"/>
    </row>
    <row r="2591" spans="1:9">
      <c r="A2591" t="s">
        <v>2525</v>
      </c>
      <c r="B2591" s="1" t="str">
        <f>"20661151"</f>
        <v>20661151</v>
      </c>
      <c r="C2591" t="s">
        <v>2515</v>
      </c>
      <c r="D2591" t="s">
        <v>2534</v>
      </c>
      <c r="E2591" s="2"/>
      <c r="F2591" t="s">
        <v>52</v>
      </c>
      <c r="G2591" t="s">
        <v>54</v>
      </c>
      <c r="H2591" t="s">
        <v>54</v>
      </c>
      <c r="I2591"/>
    </row>
    <row r="2592" spans="1:9">
      <c r="A2592" t="s">
        <v>2525</v>
      </c>
      <c r="B2592" s="1" t="str">
        <f>"12233385"</f>
        <v>12233385</v>
      </c>
      <c r="C2592" t="s">
        <v>2515</v>
      </c>
      <c r="D2592" t="s">
        <v>2535</v>
      </c>
      <c r="E2592" s="2"/>
      <c r="F2592" t="s">
        <v>52</v>
      </c>
      <c r="G2592" t="s">
        <v>54</v>
      </c>
      <c r="H2592" t="s">
        <v>54</v>
      </c>
      <c r="I2592"/>
    </row>
    <row r="2593" spans="1:9">
      <c r="A2593" t="s">
        <v>2525</v>
      </c>
      <c r="B2593" s="1" t="str">
        <f>"20661154"</f>
        <v>20661154</v>
      </c>
      <c r="C2593" t="s">
        <v>2523</v>
      </c>
      <c r="D2593" t="s">
        <v>2536</v>
      </c>
      <c r="E2593" s="2"/>
      <c r="F2593" t="s">
        <v>52</v>
      </c>
      <c r="G2593" t="s">
        <v>997</v>
      </c>
      <c r="H2593" t="s">
        <v>997</v>
      </c>
      <c r="I2593"/>
    </row>
    <row r="2594" spans="1:9">
      <c r="A2594" t="s">
        <v>2537</v>
      </c>
      <c r="B2594" s="1" t="str">
        <f>"12145219"</f>
        <v>12145219</v>
      </c>
      <c r="C2594" t="s">
        <v>260</v>
      </c>
      <c r="D2594" t="s">
        <v>2538</v>
      </c>
      <c r="E2594" s="2"/>
      <c r="F2594"/>
      <c r="G2594" t="s">
        <v>2539</v>
      </c>
      <c r="H2594" t="s">
        <v>2539</v>
      </c>
      <c r="I2594"/>
    </row>
    <row r="2595" spans="1:9">
      <c r="A2595" t="s">
        <v>2537</v>
      </c>
      <c r="B2595" s="1" t="str">
        <f>"20061503"</f>
        <v>20061503</v>
      </c>
      <c r="C2595" t="s">
        <v>2494</v>
      </c>
      <c r="D2595" t="s">
        <v>2540</v>
      </c>
      <c r="E2595" s="2"/>
      <c r="F2595" t="s">
        <v>1235</v>
      </c>
      <c r="G2595" t="s">
        <v>82</v>
      </c>
      <c r="H2595" t="s">
        <v>82</v>
      </c>
      <c r="I2595"/>
    </row>
    <row r="2596" spans="1:9">
      <c r="A2596" t="s">
        <v>2537</v>
      </c>
      <c r="B2596" s="1" t="str">
        <f>"20061507"</f>
        <v>20061507</v>
      </c>
      <c r="C2596" t="s">
        <v>2494</v>
      </c>
      <c r="D2596" t="s">
        <v>2541</v>
      </c>
      <c r="E2596" s="2"/>
      <c r="F2596" t="s">
        <v>1235</v>
      </c>
      <c r="G2596" t="s">
        <v>82</v>
      </c>
      <c r="H2596" t="s">
        <v>82</v>
      </c>
      <c r="I2596"/>
    </row>
    <row r="2597" spans="1:9">
      <c r="A2597" t="s">
        <v>2537</v>
      </c>
      <c r="B2597" s="1" t="str">
        <f>"20061505"</f>
        <v>20061505</v>
      </c>
      <c r="C2597" t="s">
        <v>2494</v>
      </c>
      <c r="D2597" t="s">
        <v>2542</v>
      </c>
      <c r="E2597" s="2"/>
      <c r="F2597" t="s">
        <v>1235</v>
      </c>
      <c r="G2597" t="s">
        <v>82</v>
      </c>
      <c r="H2597" t="s">
        <v>82</v>
      </c>
      <c r="I2597"/>
    </row>
    <row r="2598" spans="1:9">
      <c r="A2598" t="s">
        <v>2537</v>
      </c>
      <c r="B2598" s="1" t="str">
        <f>"20061521"</f>
        <v>20061521</v>
      </c>
      <c r="C2598" t="s">
        <v>2494</v>
      </c>
      <c r="D2598" t="s">
        <v>2543</v>
      </c>
      <c r="E2598" s="2"/>
      <c r="F2598" t="s">
        <v>2544</v>
      </c>
      <c r="G2598" t="s">
        <v>296</v>
      </c>
      <c r="H2598" t="s">
        <v>296</v>
      </c>
      <c r="I2598"/>
    </row>
    <row r="2599" spans="1:9">
      <c r="A2599" t="s">
        <v>2537</v>
      </c>
      <c r="B2599" s="1" t="str">
        <f>"20061518"</f>
        <v>20061518</v>
      </c>
      <c r="C2599" t="s">
        <v>2494</v>
      </c>
      <c r="D2599" t="s">
        <v>2545</v>
      </c>
      <c r="E2599" s="2"/>
      <c r="F2599" t="s">
        <v>2544</v>
      </c>
      <c r="G2599" t="s">
        <v>296</v>
      </c>
      <c r="H2599" t="s">
        <v>296</v>
      </c>
      <c r="I2599"/>
    </row>
    <row r="2600" spans="1:9">
      <c r="A2600" t="s">
        <v>2537</v>
      </c>
      <c r="B2600" s="1" t="str">
        <f>"20061517"</f>
        <v>20061517</v>
      </c>
      <c r="C2600" t="s">
        <v>2494</v>
      </c>
      <c r="D2600" t="s">
        <v>2546</v>
      </c>
      <c r="E2600" s="2"/>
      <c r="F2600" t="s">
        <v>2544</v>
      </c>
      <c r="G2600" t="s">
        <v>296</v>
      </c>
      <c r="H2600" t="s">
        <v>296</v>
      </c>
      <c r="I2600"/>
    </row>
    <row r="2601" spans="1:9">
      <c r="A2601" t="s">
        <v>2537</v>
      </c>
      <c r="B2601" s="1" t="str">
        <f>"20061520"</f>
        <v>20061520</v>
      </c>
      <c r="C2601" t="s">
        <v>2494</v>
      </c>
      <c r="D2601" t="s">
        <v>2547</v>
      </c>
      <c r="E2601" s="2"/>
      <c r="F2601" t="s">
        <v>2544</v>
      </c>
      <c r="G2601" t="s">
        <v>296</v>
      </c>
      <c r="H2601" t="s">
        <v>296</v>
      </c>
      <c r="I2601"/>
    </row>
    <row r="2602" spans="1:9">
      <c r="A2602" t="s">
        <v>2537</v>
      </c>
      <c r="B2602" s="1" t="str">
        <f>"20061519"</f>
        <v>20061519</v>
      </c>
      <c r="C2602" t="s">
        <v>2494</v>
      </c>
      <c r="D2602" t="s">
        <v>2548</v>
      </c>
      <c r="E2602" s="2"/>
      <c r="F2602" t="s">
        <v>2544</v>
      </c>
      <c r="G2602" t="s">
        <v>296</v>
      </c>
      <c r="H2602" t="s">
        <v>296</v>
      </c>
      <c r="I2602"/>
    </row>
    <row r="2603" spans="1:9">
      <c r="A2603" t="s">
        <v>2537</v>
      </c>
      <c r="B2603" s="1" t="str">
        <f>"20061496"</f>
        <v>20061496</v>
      </c>
      <c r="C2603" t="s">
        <v>225</v>
      </c>
      <c r="D2603" t="s">
        <v>2549</v>
      </c>
      <c r="E2603" s="2"/>
      <c r="F2603" t="s">
        <v>1211</v>
      </c>
      <c r="G2603" t="s">
        <v>571</v>
      </c>
      <c r="H2603" t="s">
        <v>571</v>
      </c>
      <c r="I2603"/>
    </row>
    <row r="2604" spans="1:9">
      <c r="A2604" t="s">
        <v>2537</v>
      </c>
      <c r="B2604" s="1" t="str">
        <f>"20061493"</f>
        <v>20061493</v>
      </c>
      <c r="C2604" t="s">
        <v>225</v>
      </c>
      <c r="D2604" t="s">
        <v>2550</v>
      </c>
      <c r="E2604" s="2"/>
      <c r="F2604" t="s">
        <v>2551</v>
      </c>
      <c r="G2604" t="s">
        <v>296</v>
      </c>
      <c r="H2604" t="s">
        <v>296</v>
      </c>
      <c r="I2604"/>
    </row>
    <row r="2605" spans="1:9">
      <c r="A2605" t="s">
        <v>2537</v>
      </c>
      <c r="B2605" s="1" t="str">
        <f>"20061495"</f>
        <v>20061495</v>
      </c>
      <c r="C2605" t="s">
        <v>225</v>
      </c>
      <c r="D2605" t="s">
        <v>2552</v>
      </c>
      <c r="E2605" s="2"/>
      <c r="F2605" t="s">
        <v>1211</v>
      </c>
      <c r="G2605" t="s">
        <v>571</v>
      </c>
      <c r="H2605" t="s">
        <v>571</v>
      </c>
      <c r="I2605"/>
    </row>
    <row r="2606" spans="1:9">
      <c r="A2606" t="s">
        <v>2537</v>
      </c>
      <c r="B2606" s="1" t="str">
        <f>"20061490"</f>
        <v>20061490</v>
      </c>
      <c r="C2606" t="s">
        <v>225</v>
      </c>
      <c r="D2606" t="s">
        <v>2553</v>
      </c>
      <c r="E2606" s="2"/>
      <c r="F2606" t="s">
        <v>681</v>
      </c>
      <c r="G2606" t="s">
        <v>82</v>
      </c>
      <c r="H2606" t="s">
        <v>75</v>
      </c>
      <c r="I2606"/>
    </row>
    <row r="2607" spans="1:9">
      <c r="A2607" t="s">
        <v>2537</v>
      </c>
      <c r="B2607" s="1" t="str">
        <f>"20061491"</f>
        <v>20061491</v>
      </c>
      <c r="C2607" t="s">
        <v>225</v>
      </c>
      <c r="D2607" t="s">
        <v>2554</v>
      </c>
      <c r="E2607" s="2"/>
      <c r="F2607" t="s">
        <v>681</v>
      </c>
      <c r="G2607" t="s">
        <v>82</v>
      </c>
      <c r="H2607" t="s">
        <v>82</v>
      </c>
      <c r="I2607"/>
    </row>
    <row r="2608" spans="1:9">
      <c r="A2608" t="s">
        <v>2537</v>
      </c>
      <c r="B2608" s="1" t="str">
        <f>"20061511"</f>
        <v>20061511</v>
      </c>
      <c r="C2608" t="s">
        <v>2509</v>
      </c>
      <c r="D2608" t="s">
        <v>2555</v>
      </c>
      <c r="E2608" s="2"/>
      <c r="F2608" t="s">
        <v>1128</v>
      </c>
      <c r="G2608" t="s">
        <v>82</v>
      </c>
      <c r="H2608" t="s">
        <v>82</v>
      </c>
      <c r="I2608"/>
    </row>
    <row r="2609" spans="1:9">
      <c r="A2609" t="s">
        <v>2537</v>
      </c>
      <c r="B2609" s="1" t="str">
        <f>"20061497"</f>
        <v>20061497</v>
      </c>
      <c r="C2609" t="s">
        <v>2509</v>
      </c>
      <c r="D2609" t="s">
        <v>2556</v>
      </c>
      <c r="E2609" s="2"/>
      <c r="F2609" t="s">
        <v>2557</v>
      </c>
      <c r="G2609" t="s">
        <v>296</v>
      </c>
      <c r="H2609" t="s">
        <v>296</v>
      </c>
      <c r="I2609"/>
    </row>
    <row r="2610" spans="1:9">
      <c r="A2610" t="s">
        <v>2537</v>
      </c>
      <c r="B2610" s="1" t="str">
        <f>"20061498"</f>
        <v>20061498</v>
      </c>
      <c r="C2610" t="s">
        <v>2509</v>
      </c>
      <c r="D2610" t="s">
        <v>2558</v>
      </c>
      <c r="E2610" s="2"/>
      <c r="F2610" t="s">
        <v>2557</v>
      </c>
      <c r="G2610" t="s">
        <v>296</v>
      </c>
      <c r="H2610" t="s">
        <v>296</v>
      </c>
      <c r="I2610"/>
    </row>
    <row r="2611" spans="1:9">
      <c r="A2611" t="s">
        <v>2537</v>
      </c>
      <c r="B2611" s="1" t="str">
        <f>"20061499"</f>
        <v>20061499</v>
      </c>
      <c r="C2611" t="s">
        <v>2509</v>
      </c>
      <c r="D2611" t="s">
        <v>2559</v>
      </c>
      <c r="E2611" s="2"/>
      <c r="F2611" t="s">
        <v>2557</v>
      </c>
      <c r="G2611" t="s">
        <v>296</v>
      </c>
      <c r="H2611" t="s">
        <v>296</v>
      </c>
      <c r="I2611"/>
    </row>
    <row r="2612" spans="1:9">
      <c r="A2612" t="s">
        <v>2537</v>
      </c>
      <c r="B2612" s="1" t="str">
        <f>"12627447"</f>
        <v>12627447</v>
      </c>
      <c r="C2612" t="s">
        <v>2560</v>
      </c>
      <c r="D2612" t="s">
        <v>2561</v>
      </c>
      <c r="E2612" s="2"/>
      <c r="F2612"/>
      <c r="G2612" t="s">
        <v>1080</v>
      </c>
      <c r="H2612" t="s">
        <v>1080</v>
      </c>
      <c r="I2612"/>
    </row>
    <row r="2613" spans="1:9">
      <c r="A2613" t="s">
        <v>2537</v>
      </c>
      <c r="B2613" s="1" t="str">
        <f>"12627420"</f>
        <v>12627420</v>
      </c>
      <c r="C2613" t="s">
        <v>2560</v>
      </c>
      <c r="D2613" t="s">
        <v>2562</v>
      </c>
      <c r="E2613" s="2"/>
      <c r="F2613"/>
      <c r="G2613" t="s">
        <v>1080</v>
      </c>
      <c r="H2613" t="s">
        <v>1080</v>
      </c>
      <c r="I2613"/>
    </row>
    <row r="2614" spans="1:9">
      <c r="A2614" t="s">
        <v>2537</v>
      </c>
      <c r="B2614" s="1" t="str">
        <f>"12627415"</f>
        <v>12627415</v>
      </c>
      <c r="C2614" t="s">
        <v>2560</v>
      </c>
      <c r="D2614" t="s">
        <v>2563</v>
      </c>
      <c r="E2614" s="2"/>
      <c r="F2614"/>
      <c r="G2614" t="s">
        <v>1080</v>
      </c>
      <c r="H2614" t="s">
        <v>1080</v>
      </c>
      <c r="I2614"/>
    </row>
    <row r="2615" spans="1:9">
      <c r="A2615" t="s">
        <v>2537</v>
      </c>
      <c r="B2615" s="1" t="str">
        <f>"12627422"</f>
        <v>12627422</v>
      </c>
      <c r="C2615" t="s">
        <v>2560</v>
      </c>
      <c r="D2615" t="s">
        <v>2564</v>
      </c>
      <c r="E2615" s="2"/>
      <c r="F2615"/>
      <c r="G2615" t="s">
        <v>1080</v>
      </c>
      <c r="H2615" t="s">
        <v>1080</v>
      </c>
      <c r="I2615"/>
    </row>
    <row r="2616" spans="1:9">
      <c r="A2616" t="s">
        <v>2537</v>
      </c>
      <c r="B2616" s="1" t="str">
        <f>"12627433"</f>
        <v>12627433</v>
      </c>
      <c r="C2616" t="s">
        <v>2560</v>
      </c>
      <c r="D2616" t="s">
        <v>2565</v>
      </c>
      <c r="E2616" s="2"/>
      <c r="F2616"/>
      <c r="G2616" t="s">
        <v>1080</v>
      </c>
      <c r="H2616" t="s">
        <v>1080</v>
      </c>
      <c r="I2616"/>
    </row>
    <row r="2617" spans="1:9">
      <c r="A2617" t="s">
        <v>2537</v>
      </c>
      <c r="B2617" s="1" t="str">
        <f>"12627425"</f>
        <v>12627425</v>
      </c>
      <c r="C2617" t="s">
        <v>2560</v>
      </c>
      <c r="D2617" t="s">
        <v>2566</v>
      </c>
      <c r="E2617" s="2"/>
      <c r="F2617"/>
      <c r="G2617" t="s">
        <v>1080</v>
      </c>
      <c r="H2617" t="s">
        <v>1080</v>
      </c>
      <c r="I2617"/>
    </row>
    <row r="2618" spans="1:9">
      <c r="A2618" t="s">
        <v>2537</v>
      </c>
      <c r="B2618" s="1" t="str">
        <f>"12627434"</f>
        <v>12627434</v>
      </c>
      <c r="C2618" t="s">
        <v>2560</v>
      </c>
      <c r="D2618" t="s">
        <v>2567</v>
      </c>
      <c r="E2618" s="2"/>
      <c r="F2618"/>
      <c r="G2618" t="s">
        <v>1080</v>
      </c>
      <c r="H2618" t="s">
        <v>1080</v>
      </c>
      <c r="I2618"/>
    </row>
    <row r="2619" spans="1:9">
      <c r="A2619" t="s">
        <v>2537</v>
      </c>
      <c r="B2619" s="1" t="str">
        <f>"12627446"</f>
        <v>12627446</v>
      </c>
      <c r="C2619" t="s">
        <v>2560</v>
      </c>
      <c r="D2619" t="s">
        <v>2568</v>
      </c>
      <c r="E2619" s="2"/>
      <c r="F2619"/>
      <c r="G2619" t="s">
        <v>1080</v>
      </c>
      <c r="H2619" t="s">
        <v>1080</v>
      </c>
      <c r="I2619"/>
    </row>
    <row r="2620" spans="1:9">
      <c r="A2620" t="s">
        <v>2537</v>
      </c>
      <c r="B2620" s="1" t="str">
        <f>"12627448"</f>
        <v>12627448</v>
      </c>
      <c r="C2620" t="s">
        <v>2560</v>
      </c>
      <c r="D2620" t="s">
        <v>2569</v>
      </c>
      <c r="E2620" s="2"/>
      <c r="F2620"/>
      <c r="G2620" t="s">
        <v>1080</v>
      </c>
      <c r="H2620" t="s">
        <v>1080</v>
      </c>
      <c r="I2620"/>
    </row>
    <row r="2621" spans="1:9">
      <c r="A2621" t="s">
        <v>2537</v>
      </c>
      <c r="B2621" s="1" t="str">
        <f>"12627444"</f>
        <v>12627444</v>
      </c>
      <c r="C2621" t="s">
        <v>2560</v>
      </c>
      <c r="D2621" t="s">
        <v>2570</v>
      </c>
      <c r="E2621" s="2"/>
      <c r="F2621"/>
      <c r="G2621" t="s">
        <v>1080</v>
      </c>
      <c r="H2621" t="s">
        <v>1080</v>
      </c>
      <c r="I2621"/>
    </row>
    <row r="2622" spans="1:9">
      <c r="A2622" t="s">
        <v>2537</v>
      </c>
      <c r="B2622" s="1" t="str">
        <f>"12627417"</f>
        <v>12627417</v>
      </c>
      <c r="C2622" t="s">
        <v>2560</v>
      </c>
      <c r="D2622" t="s">
        <v>2571</v>
      </c>
      <c r="E2622" s="2"/>
      <c r="F2622"/>
      <c r="G2622" t="s">
        <v>1080</v>
      </c>
      <c r="H2622" t="s">
        <v>1080</v>
      </c>
      <c r="I2622"/>
    </row>
    <row r="2623" spans="1:9">
      <c r="A2623" t="s">
        <v>2537</v>
      </c>
      <c r="B2623" s="1" t="str">
        <f>"12627424"</f>
        <v>12627424</v>
      </c>
      <c r="C2623" t="s">
        <v>2560</v>
      </c>
      <c r="D2623" t="s">
        <v>2572</v>
      </c>
      <c r="E2623" s="2"/>
      <c r="F2623"/>
      <c r="G2623" t="s">
        <v>1080</v>
      </c>
      <c r="H2623" t="s">
        <v>1080</v>
      </c>
      <c r="I2623"/>
    </row>
    <row r="2624" spans="1:9">
      <c r="A2624" t="s">
        <v>2537</v>
      </c>
      <c r="B2624" s="1" t="str">
        <f>"12627436"</f>
        <v>12627436</v>
      </c>
      <c r="C2624" t="s">
        <v>2560</v>
      </c>
      <c r="D2624" t="s">
        <v>2573</v>
      </c>
      <c r="E2624" s="2"/>
      <c r="F2624"/>
      <c r="G2624" t="s">
        <v>1080</v>
      </c>
      <c r="H2624" t="s">
        <v>1080</v>
      </c>
      <c r="I2624"/>
    </row>
    <row r="2625" spans="1:9">
      <c r="A2625" t="s">
        <v>2537</v>
      </c>
      <c r="B2625" s="1" t="str">
        <f>"12627439"</f>
        <v>12627439</v>
      </c>
      <c r="C2625" t="s">
        <v>2560</v>
      </c>
      <c r="D2625" t="s">
        <v>2574</v>
      </c>
      <c r="E2625" s="2"/>
      <c r="F2625"/>
      <c r="G2625" t="s">
        <v>1080</v>
      </c>
      <c r="H2625" t="s">
        <v>1080</v>
      </c>
      <c r="I2625"/>
    </row>
    <row r="2626" spans="1:9">
      <c r="A2626" t="s">
        <v>2537</v>
      </c>
      <c r="B2626" s="1" t="str">
        <f>"12627435"</f>
        <v>12627435</v>
      </c>
      <c r="C2626" t="s">
        <v>2560</v>
      </c>
      <c r="D2626" t="s">
        <v>2575</v>
      </c>
      <c r="E2626" s="2"/>
      <c r="F2626"/>
      <c r="G2626" t="s">
        <v>1080</v>
      </c>
      <c r="H2626" t="s">
        <v>1080</v>
      </c>
      <c r="I2626"/>
    </row>
    <row r="2627" spans="1:9">
      <c r="A2627" t="s">
        <v>2537</v>
      </c>
      <c r="B2627" s="1" t="str">
        <f>"12627438"</f>
        <v>12627438</v>
      </c>
      <c r="C2627" t="s">
        <v>2560</v>
      </c>
      <c r="D2627" t="s">
        <v>2576</v>
      </c>
      <c r="E2627" s="2"/>
      <c r="F2627"/>
      <c r="G2627" t="s">
        <v>1080</v>
      </c>
      <c r="H2627" t="s">
        <v>1080</v>
      </c>
      <c r="I2627"/>
    </row>
    <row r="2628" spans="1:9">
      <c r="A2628" t="s">
        <v>2537</v>
      </c>
      <c r="B2628" s="1" t="str">
        <f>"12627437"</f>
        <v>12627437</v>
      </c>
      <c r="C2628" t="s">
        <v>2560</v>
      </c>
      <c r="D2628" t="s">
        <v>2577</v>
      </c>
      <c r="E2628" s="2"/>
      <c r="F2628"/>
      <c r="G2628" t="s">
        <v>1080</v>
      </c>
      <c r="H2628" t="s">
        <v>1080</v>
      </c>
      <c r="I2628"/>
    </row>
    <row r="2629" spans="1:9">
      <c r="A2629" t="s">
        <v>2537</v>
      </c>
      <c r="B2629" s="1" t="str">
        <f>"12627451"</f>
        <v>12627451</v>
      </c>
      <c r="C2629" t="s">
        <v>2560</v>
      </c>
      <c r="D2629" t="s">
        <v>2578</v>
      </c>
      <c r="E2629" s="2"/>
      <c r="F2629" t="s">
        <v>2579</v>
      </c>
      <c r="G2629"/>
      <c r="H2629" t="s">
        <v>1080</v>
      </c>
      <c r="I2629"/>
    </row>
    <row r="2630" spans="1:9">
      <c r="A2630" t="s">
        <v>2537</v>
      </c>
      <c r="B2630" s="1" t="str">
        <f>"12627419"</f>
        <v>12627419</v>
      </c>
      <c r="C2630" t="s">
        <v>2560</v>
      </c>
      <c r="D2630" t="s">
        <v>2580</v>
      </c>
      <c r="E2630" s="2"/>
      <c r="F2630"/>
      <c r="G2630" t="s">
        <v>1080</v>
      </c>
      <c r="H2630" t="s">
        <v>1080</v>
      </c>
      <c r="I2630"/>
    </row>
    <row r="2631" spans="1:9">
      <c r="A2631" t="s">
        <v>2537</v>
      </c>
      <c r="B2631" s="1" t="str">
        <f>"12627423"</f>
        <v>12627423</v>
      </c>
      <c r="C2631" t="s">
        <v>2560</v>
      </c>
      <c r="D2631" t="s">
        <v>2581</v>
      </c>
      <c r="E2631" s="2"/>
      <c r="F2631"/>
      <c r="G2631" t="s">
        <v>1080</v>
      </c>
      <c r="H2631" t="s">
        <v>1080</v>
      </c>
      <c r="I2631"/>
    </row>
    <row r="2632" spans="1:9">
      <c r="A2632" t="s">
        <v>2537</v>
      </c>
      <c r="B2632" s="1" t="str">
        <f>"12627442"</f>
        <v>12627442</v>
      </c>
      <c r="C2632" t="s">
        <v>2560</v>
      </c>
      <c r="D2632" t="s">
        <v>2582</v>
      </c>
      <c r="E2632" s="2"/>
      <c r="F2632"/>
      <c r="G2632" t="s">
        <v>1080</v>
      </c>
      <c r="H2632" t="s">
        <v>1080</v>
      </c>
      <c r="I2632"/>
    </row>
    <row r="2633" spans="1:9">
      <c r="A2633" t="s">
        <v>2537</v>
      </c>
      <c r="B2633" s="1" t="str">
        <f>"12627443"</f>
        <v>12627443</v>
      </c>
      <c r="C2633" t="s">
        <v>2560</v>
      </c>
      <c r="D2633" t="s">
        <v>2583</v>
      </c>
      <c r="E2633" s="2"/>
      <c r="F2633"/>
      <c r="G2633" t="s">
        <v>1080</v>
      </c>
      <c r="H2633" t="s">
        <v>1080</v>
      </c>
      <c r="I2633"/>
    </row>
    <row r="2634" spans="1:9">
      <c r="A2634" t="s">
        <v>2537</v>
      </c>
      <c r="B2634" s="1" t="str">
        <f>"12627426"</f>
        <v>12627426</v>
      </c>
      <c r="C2634" t="s">
        <v>2560</v>
      </c>
      <c r="D2634" t="s">
        <v>2584</v>
      </c>
      <c r="E2634" s="2"/>
      <c r="F2634"/>
      <c r="G2634" t="s">
        <v>1080</v>
      </c>
      <c r="H2634" t="s">
        <v>1080</v>
      </c>
      <c r="I2634"/>
    </row>
    <row r="2635" spans="1:9">
      <c r="A2635" t="s">
        <v>2537</v>
      </c>
      <c r="B2635" s="1" t="str">
        <f>"20142550"</f>
        <v>20142550</v>
      </c>
      <c r="C2635" t="s">
        <v>2585</v>
      </c>
      <c r="D2635" t="s">
        <v>2552</v>
      </c>
      <c r="E2635" s="2"/>
      <c r="F2635" t="s">
        <v>2586</v>
      </c>
      <c r="G2635" t="s">
        <v>571</v>
      </c>
      <c r="H2635" t="s">
        <v>571</v>
      </c>
      <c r="I2635"/>
    </row>
    <row r="2636" spans="1:9">
      <c r="A2636" t="s">
        <v>2537</v>
      </c>
      <c r="B2636" s="1" t="str">
        <f>"20041403"</f>
        <v>20041403</v>
      </c>
      <c r="C2636" t="s">
        <v>2585</v>
      </c>
      <c r="D2636" t="s">
        <v>2587</v>
      </c>
      <c r="E2636" s="2"/>
      <c r="F2636" t="s">
        <v>1302</v>
      </c>
      <c r="G2636" t="s">
        <v>571</v>
      </c>
      <c r="H2636" t="s">
        <v>571</v>
      </c>
      <c r="I2636"/>
    </row>
    <row r="2637" spans="1:9">
      <c r="A2637" t="s">
        <v>2537</v>
      </c>
      <c r="B2637" s="1" t="str">
        <f>"20429721"</f>
        <v>20429721</v>
      </c>
      <c r="C2637" t="s">
        <v>2585</v>
      </c>
      <c r="D2637" t="s">
        <v>2588</v>
      </c>
      <c r="E2637" s="2"/>
      <c r="F2637"/>
      <c r="G2637" t="s">
        <v>296</v>
      </c>
      <c r="H2637" t="s">
        <v>296</v>
      </c>
      <c r="I2637"/>
    </row>
    <row r="2638" spans="1:9">
      <c r="A2638" t="s">
        <v>2537</v>
      </c>
      <c r="B2638" s="1" t="str">
        <f>"20357714"</f>
        <v>20357714</v>
      </c>
      <c r="C2638" t="s">
        <v>2589</v>
      </c>
      <c r="D2638" t="s">
        <v>2590</v>
      </c>
      <c r="E2638" s="2"/>
      <c r="F2638" t="s">
        <v>2591</v>
      </c>
      <c r="G2638" t="s">
        <v>75</v>
      </c>
      <c r="H2638" t="s">
        <v>75</v>
      </c>
      <c r="I2638"/>
    </row>
    <row r="2639" spans="1:9">
      <c r="A2639" t="s">
        <v>2537</v>
      </c>
      <c r="B2639" s="1" t="str">
        <f>"20357712"</f>
        <v>20357712</v>
      </c>
      <c r="C2639" t="s">
        <v>2589</v>
      </c>
      <c r="D2639" t="s">
        <v>2592</v>
      </c>
      <c r="E2639" s="2"/>
      <c r="F2639" t="s">
        <v>2593</v>
      </c>
      <c r="G2639" t="s">
        <v>75</v>
      </c>
      <c r="H2639" t="s">
        <v>75</v>
      </c>
      <c r="I2639"/>
    </row>
    <row r="2640" spans="1:9">
      <c r="A2640" t="s">
        <v>2537</v>
      </c>
      <c r="B2640" s="1" t="str">
        <f>"25390821"</f>
        <v>25390821</v>
      </c>
      <c r="C2640" t="s">
        <v>2589</v>
      </c>
      <c r="D2640" t="s">
        <v>2594</v>
      </c>
      <c r="E2640" s="2"/>
      <c r="F2640"/>
      <c r="G2640" t="s">
        <v>75</v>
      </c>
      <c r="H2640" t="s">
        <v>75</v>
      </c>
      <c r="I2640"/>
    </row>
    <row r="2641" spans="1:9">
      <c r="A2641" t="s">
        <v>2537</v>
      </c>
      <c r="B2641" s="1" t="str">
        <f>"20539027"</f>
        <v>20539027</v>
      </c>
      <c r="C2641" t="s">
        <v>2589</v>
      </c>
      <c r="D2641" t="s">
        <v>2595</v>
      </c>
      <c r="E2641" s="2"/>
      <c r="F2641" t="s">
        <v>2596</v>
      </c>
      <c r="G2641" t="s">
        <v>75</v>
      </c>
      <c r="H2641" t="s">
        <v>75</v>
      </c>
      <c r="I2641"/>
    </row>
    <row r="2642" spans="1:9">
      <c r="A2642" t="s">
        <v>2537</v>
      </c>
      <c r="B2642" s="1" t="str">
        <f>"24358008"</f>
        <v>24358008</v>
      </c>
      <c r="C2642" t="s">
        <v>2589</v>
      </c>
      <c r="D2642" t="s">
        <v>2597</v>
      </c>
      <c r="E2642" s="2"/>
      <c r="F2642"/>
      <c r="G2642" t="s">
        <v>75</v>
      </c>
      <c r="H2642" t="s">
        <v>75</v>
      </c>
      <c r="I2642"/>
    </row>
    <row r="2643" spans="1:9">
      <c r="A2643" t="s">
        <v>2537</v>
      </c>
      <c r="B2643" s="1" t="str">
        <f>"28904250"</f>
        <v>28904250</v>
      </c>
      <c r="C2643" t="s">
        <v>2589</v>
      </c>
      <c r="D2643" t="s">
        <v>2598</v>
      </c>
      <c r="E2643" s="2"/>
      <c r="F2643"/>
      <c r="G2643"/>
      <c r="H2643" t="s">
        <v>75</v>
      </c>
      <c r="I2643"/>
    </row>
    <row r="2644" spans="1:9">
      <c r="A2644" t="s">
        <v>2537</v>
      </c>
      <c r="B2644" s="1" t="str">
        <f>"20536927"</f>
        <v>20536927</v>
      </c>
      <c r="C2644" t="s">
        <v>2589</v>
      </c>
      <c r="D2644" t="s">
        <v>2599</v>
      </c>
      <c r="E2644" s="2"/>
      <c r="F2644" t="s">
        <v>2600</v>
      </c>
      <c r="G2644" t="s">
        <v>75</v>
      </c>
      <c r="H2644" t="s">
        <v>75</v>
      </c>
      <c r="I2644"/>
    </row>
    <row r="2645" spans="1:9">
      <c r="A2645" t="s">
        <v>2601</v>
      </c>
      <c r="B2645" s="1" t="str">
        <f>"20061647"</f>
        <v>20061647</v>
      </c>
      <c r="C2645" t="s">
        <v>260</v>
      </c>
      <c r="D2645" t="s">
        <v>2602</v>
      </c>
      <c r="E2645" s="2"/>
      <c r="F2645" t="s">
        <v>68</v>
      </c>
      <c r="G2645" t="s">
        <v>122</v>
      </c>
      <c r="H2645" t="s">
        <v>122</v>
      </c>
      <c r="I2645"/>
    </row>
    <row r="2646" spans="1:9">
      <c r="A2646" t="s">
        <v>2601</v>
      </c>
      <c r="B2646" s="1" t="str">
        <f>"20064860"</f>
        <v>20064860</v>
      </c>
      <c r="C2646" t="s">
        <v>260</v>
      </c>
      <c r="D2646" t="s">
        <v>2603</v>
      </c>
      <c r="E2646" s="2"/>
      <c r="F2646" t="s">
        <v>68</v>
      </c>
      <c r="G2646" t="s">
        <v>37</v>
      </c>
      <c r="H2646" t="s">
        <v>37</v>
      </c>
      <c r="I2646"/>
    </row>
    <row r="2647" spans="1:9">
      <c r="A2647" t="s">
        <v>2601</v>
      </c>
      <c r="B2647" s="1" t="str">
        <f>"20247201"</f>
        <v>20247201</v>
      </c>
      <c r="C2647" t="s">
        <v>225</v>
      </c>
      <c r="D2647" t="s">
        <v>2604</v>
      </c>
      <c r="E2647" s="2"/>
      <c r="F2647" t="s">
        <v>68</v>
      </c>
      <c r="G2647" t="s">
        <v>1059</v>
      </c>
      <c r="H2647" t="s">
        <v>1059</v>
      </c>
      <c r="I2647"/>
    </row>
    <row r="2648" spans="1:9">
      <c r="A2648" t="s">
        <v>2601</v>
      </c>
      <c r="B2648" s="1" t="str">
        <f>"24371506"</f>
        <v>24371506</v>
      </c>
      <c r="C2648" t="s">
        <v>225</v>
      </c>
      <c r="D2648" t="s">
        <v>2605</v>
      </c>
      <c r="E2648" s="2"/>
      <c r="F2648" t="s">
        <v>22</v>
      </c>
      <c r="G2648" t="s">
        <v>122</v>
      </c>
      <c r="H2648" t="s">
        <v>122</v>
      </c>
      <c r="I2648"/>
    </row>
    <row r="2649" spans="1:9">
      <c r="A2649" t="s">
        <v>2601</v>
      </c>
      <c r="B2649" s="1" t="str">
        <f>"20247202"</f>
        <v>20247202</v>
      </c>
      <c r="C2649" t="s">
        <v>225</v>
      </c>
      <c r="D2649" t="s">
        <v>2606</v>
      </c>
      <c r="E2649" s="2"/>
      <c r="F2649" t="s">
        <v>68</v>
      </c>
      <c r="G2649" t="s">
        <v>1059</v>
      </c>
      <c r="H2649" t="s">
        <v>1059</v>
      </c>
      <c r="I2649"/>
    </row>
    <row r="2650" spans="1:9">
      <c r="A2650" t="s">
        <v>2601</v>
      </c>
      <c r="B2650" s="1" t="str">
        <f>"20592011"</f>
        <v>20592011</v>
      </c>
      <c r="C2650" t="s">
        <v>225</v>
      </c>
      <c r="D2650" t="s">
        <v>2607</v>
      </c>
      <c r="E2650" s="2"/>
      <c r="F2650" t="s">
        <v>79</v>
      </c>
      <c r="G2650" t="s">
        <v>120</v>
      </c>
      <c r="H2650" t="s">
        <v>120</v>
      </c>
      <c r="I2650"/>
    </row>
    <row r="2651" spans="1:9">
      <c r="A2651" t="s">
        <v>2601</v>
      </c>
      <c r="B2651" s="1" t="str">
        <f>"20061489"</f>
        <v>20061489</v>
      </c>
      <c r="C2651" t="s">
        <v>225</v>
      </c>
      <c r="D2651" t="s">
        <v>2608</v>
      </c>
      <c r="E2651" s="2"/>
      <c r="F2651" t="s">
        <v>79</v>
      </c>
      <c r="G2651" t="s">
        <v>120</v>
      </c>
      <c r="H2651" t="s">
        <v>120</v>
      </c>
      <c r="I2651"/>
    </row>
    <row r="2652" spans="1:9">
      <c r="A2652" t="s">
        <v>2601</v>
      </c>
      <c r="B2652" s="1" t="str">
        <f>"20071678"</f>
        <v>20071678</v>
      </c>
      <c r="C2652" t="s">
        <v>225</v>
      </c>
      <c r="D2652" t="s">
        <v>2508</v>
      </c>
      <c r="E2652" s="2"/>
      <c r="F2652" t="s">
        <v>22</v>
      </c>
      <c r="G2652" t="s">
        <v>80</v>
      </c>
      <c r="H2652" t="s">
        <v>80</v>
      </c>
      <c r="I2652"/>
    </row>
    <row r="2653" spans="1:9">
      <c r="A2653" t="s">
        <v>2601</v>
      </c>
      <c r="B2653" s="1" t="str">
        <f>"20061516"</f>
        <v>20061516</v>
      </c>
      <c r="C2653" t="s">
        <v>2509</v>
      </c>
      <c r="D2653" t="s">
        <v>2609</v>
      </c>
      <c r="E2653" s="2"/>
      <c r="F2653" t="s">
        <v>959</v>
      </c>
      <c r="G2653" t="s">
        <v>80</v>
      </c>
      <c r="H2653" t="s">
        <v>80</v>
      </c>
      <c r="I2653"/>
    </row>
    <row r="2654" spans="1:9">
      <c r="A2654" t="s">
        <v>2601</v>
      </c>
      <c r="B2654" s="1" t="str">
        <f>"20061516.2"</f>
        <v>20061516.2</v>
      </c>
      <c r="C2654" t="s">
        <v>2509</v>
      </c>
      <c r="D2654" t="s">
        <v>2609</v>
      </c>
      <c r="E2654" s="2"/>
      <c r="F2654" t="s">
        <v>959</v>
      </c>
      <c r="G2654" t="s">
        <v>80</v>
      </c>
      <c r="H2654" t="s">
        <v>218</v>
      </c>
      <c r="I2654"/>
    </row>
    <row r="2655" spans="1:9">
      <c r="A2655" t="s">
        <v>2601</v>
      </c>
      <c r="B2655" s="1" t="str">
        <f>"20061502"</f>
        <v>20061502</v>
      </c>
      <c r="C2655" t="s">
        <v>2509</v>
      </c>
      <c r="D2655" t="s">
        <v>2610</v>
      </c>
      <c r="E2655" s="2"/>
      <c r="F2655" t="s">
        <v>116</v>
      </c>
      <c r="G2655" t="s">
        <v>80</v>
      </c>
      <c r="H2655" t="s">
        <v>80</v>
      </c>
      <c r="I2655"/>
    </row>
    <row r="2656" spans="1:9">
      <c r="A2656" t="s">
        <v>2601</v>
      </c>
      <c r="B2656" s="1" t="str">
        <f>"20061502.2"</f>
        <v>20061502.2</v>
      </c>
      <c r="C2656" t="s">
        <v>2509</v>
      </c>
      <c r="D2656" t="s">
        <v>2610</v>
      </c>
      <c r="E2656" s="2"/>
      <c r="F2656" t="s">
        <v>116</v>
      </c>
      <c r="G2656" t="s">
        <v>80</v>
      </c>
      <c r="H2656" t="s">
        <v>218</v>
      </c>
      <c r="I2656"/>
    </row>
    <row r="2657" spans="1:9">
      <c r="A2657" t="s">
        <v>2601</v>
      </c>
      <c r="B2657" s="1" t="str">
        <f>"20250603"</f>
        <v>20250603</v>
      </c>
      <c r="C2657" t="s">
        <v>2509</v>
      </c>
      <c r="D2657" t="s">
        <v>2611</v>
      </c>
      <c r="E2657" s="2"/>
      <c r="F2657" t="s">
        <v>103</v>
      </c>
      <c r="G2657" t="s">
        <v>54</v>
      </c>
      <c r="H2657" t="s">
        <v>533</v>
      </c>
      <c r="I2657"/>
    </row>
    <row r="2658" spans="1:9">
      <c r="A2658" t="s">
        <v>2601</v>
      </c>
      <c r="B2658" s="1" t="str">
        <f>"24599304"</f>
        <v>24599304</v>
      </c>
      <c r="C2658" t="s">
        <v>2509</v>
      </c>
      <c r="D2658" t="s">
        <v>2612</v>
      </c>
      <c r="E2658" s="2"/>
      <c r="F2658" t="s">
        <v>717</v>
      </c>
      <c r="G2658" t="s">
        <v>82</v>
      </c>
      <c r="H2658" t="s">
        <v>75</v>
      </c>
      <c r="I2658"/>
    </row>
    <row r="2659" spans="1:9">
      <c r="A2659" t="s">
        <v>2601</v>
      </c>
      <c r="B2659" s="1" t="str">
        <f>"20250602"</f>
        <v>20250602</v>
      </c>
      <c r="C2659" t="s">
        <v>2509</v>
      </c>
      <c r="D2659" t="s">
        <v>2613</v>
      </c>
      <c r="E2659" s="2"/>
      <c r="F2659" t="s">
        <v>22</v>
      </c>
      <c r="G2659" t="s">
        <v>533</v>
      </c>
      <c r="H2659" t="s">
        <v>533</v>
      </c>
      <c r="I2659"/>
    </row>
    <row r="2660" spans="1:9">
      <c r="A2660" t="s">
        <v>2601</v>
      </c>
      <c r="B2660" s="1" t="str">
        <f>"20250602.2"</f>
        <v>20250602.2</v>
      </c>
      <c r="C2660" t="s">
        <v>2509</v>
      </c>
      <c r="D2660" t="s">
        <v>2613</v>
      </c>
      <c r="E2660" s="2"/>
      <c r="F2660" t="s">
        <v>22</v>
      </c>
      <c r="G2660" t="s">
        <v>533</v>
      </c>
      <c r="H2660" t="s">
        <v>517</v>
      </c>
      <c r="I2660"/>
    </row>
    <row r="2661" spans="1:9">
      <c r="A2661" t="s">
        <v>2601</v>
      </c>
      <c r="B2661" s="1" t="str">
        <f>"20058708"</f>
        <v>20058708</v>
      </c>
      <c r="C2661" t="s">
        <v>2509</v>
      </c>
      <c r="D2661" t="s">
        <v>2614</v>
      </c>
      <c r="E2661" s="2"/>
      <c r="F2661" t="s">
        <v>79</v>
      </c>
      <c r="G2661" t="s">
        <v>37</v>
      </c>
      <c r="H2661" t="s">
        <v>37</v>
      </c>
      <c r="I2661"/>
    </row>
    <row r="2662" spans="1:9">
      <c r="A2662" t="s">
        <v>2601</v>
      </c>
      <c r="B2662" s="1" t="str">
        <f>"20061501"</f>
        <v>20061501</v>
      </c>
      <c r="C2662" t="s">
        <v>2509</v>
      </c>
      <c r="D2662" t="s">
        <v>2615</v>
      </c>
      <c r="E2662" s="2"/>
      <c r="F2662" t="s">
        <v>2616</v>
      </c>
      <c r="G2662" t="s">
        <v>13</v>
      </c>
      <c r="H2662" t="s">
        <v>13</v>
      </c>
      <c r="I2662"/>
    </row>
    <row r="2663" spans="1:9">
      <c r="A2663" t="s">
        <v>2601</v>
      </c>
      <c r="B2663" s="1" t="str">
        <f>"20061501.2"</f>
        <v>20061501.2</v>
      </c>
      <c r="C2663" t="s">
        <v>2509</v>
      </c>
      <c r="D2663" t="s">
        <v>2615</v>
      </c>
      <c r="E2663" s="2"/>
      <c r="F2663" t="s">
        <v>2616</v>
      </c>
      <c r="G2663" t="s">
        <v>13</v>
      </c>
      <c r="H2663" t="s">
        <v>218</v>
      </c>
      <c r="I2663"/>
    </row>
    <row r="2664" spans="1:9">
      <c r="A2664" t="s">
        <v>2601</v>
      </c>
      <c r="B2664" s="1" t="str">
        <f>"24600549"</f>
        <v>24600549</v>
      </c>
      <c r="C2664" t="s">
        <v>2509</v>
      </c>
      <c r="D2664" t="s">
        <v>2617</v>
      </c>
      <c r="E2664" s="2"/>
      <c r="F2664" t="s">
        <v>116</v>
      </c>
      <c r="G2664" t="s">
        <v>82</v>
      </c>
      <c r="H2664" t="s">
        <v>75</v>
      </c>
      <c r="I2664"/>
    </row>
    <row r="2665" spans="1:9">
      <c r="A2665" t="s">
        <v>2601</v>
      </c>
      <c r="B2665" s="1" t="str">
        <f>"20006028"</f>
        <v>20006028</v>
      </c>
      <c r="C2665" t="s">
        <v>2618</v>
      </c>
      <c r="D2665" t="s">
        <v>2619</v>
      </c>
      <c r="E2665" s="2"/>
      <c r="F2665" t="s">
        <v>2620</v>
      </c>
      <c r="G2665" t="s">
        <v>37</v>
      </c>
      <c r="H2665" t="s">
        <v>37</v>
      </c>
      <c r="I2665"/>
    </row>
    <row r="2666" spans="1:9">
      <c r="A2666" t="s">
        <v>2601</v>
      </c>
      <c r="B2666" s="1" t="str">
        <f>"20644292"</f>
        <v>20644292</v>
      </c>
      <c r="C2666" t="s">
        <v>2621</v>
      </c>
      <c r="D2666" t="s">
        <v>2622</v>
      </c>
      <c r="E2666" s="2"/>
      <c r="F2666" t="s">
        <v>22</v>
      </c>
      <c r="G2666" t="s">
        <v>533</v>
      </c>
      <c r="H2666" t="s">
        <v>533</v>
      </c>
      <c r="I2666"/>
    </row>
    <row r="2667" spans="1:9">
      <c r="A2667" t="s">
        <v>2601</v>
      </c>
      <c r="B2667" s="1" t="str">
        <f>"20644292.2"</f>
        <v>20644292.2</v>
      </c>
      <c r="C2667" t="s">
        <v>2621</v>
      </c>
      <c r="D2667" t="s">
        <v>2622</v>
      </c>
      <c r="E2667" s="2"/>
      <c r="F2667" t="s">
        <v>22</v>
      </c>
      <c r="G2667" t="s">
        <v>533</v>
      </c>
      <c r="H2667" t="s">
        <v>517</v>
      </c>
      <c r="I2667"/>
    </row>
    <row r="2668" spans="1:9">
      <c r="A2668" t="s">
        <v>2601</v>
      </c>
      <c r="B2668" s="1" t="str">
        <f>"23134438"</f>
        <v>23134438</v>
      </c>
      <c r="C2668" t="s">
        <v>2621</v>
      </c>
      <c r="D2668" t="s">
        <v>2623</v>
      </c>
      <c r="E2668" s="2"/>
      <c r="F2668" t="s">
        <v>22</v>
      </c>
      <c r="G2668" t="s">
        <v>533</v>
      </c>
      <c r="H2668" t="s">
        <v>533</v>
      </c>
      <c r="I2668"/>
    </row>
    <row r="2669" spans="1:9">
      <c r="A2669" t="s">
        <v>2601</v>
      </c>
      <c r="B2669" s="1" t="str">
        <f>"23134438.2"</f>
        <v>23134438.2</v>
      </c>
      <c r="C2669" t="s">
        <v>2621</v>
      </c>
      <c r="D2669" t="s">
        <v>2623</v>
      </c>
      <c r="E2669" s="2"/>
      <c r="F2669" t="s">
        <v>22</v>
      </c>
      <c r="G2669" t="s">
        <v>533</v>
      </c>
      <c r="H2669" t="s">
        <v>517</v>
      </c>
      <c r="I2669"/>
    </row>
    <row r="2670" spans="1:9">
      <c r="A2670" t="s">
        <v>2601</v>
      </c>
      <c r="B2670" s="1" t="str">
        <f>"20644291"</f>
        <v>20644291</v>
      </c>
      <c r="C2670" t="s">
        <v>2621</v>
      </c>
      <c r="D2670" t="s">
        <v>2624</v>
      </c>
      <c r="E2670" s="2"/>
      <c r="F2670" t="s">
        <v>22</v>
      </c>
      <c r="G2670" t="s">
        <v>533</v>
      </c>
      <c r="H2670" t="s">
        <v>533</v>
      </c>
      <c r="I2670"/>
    </row>
    <row r="2671" spans="1:9">
      <c r="A2671" t="s">
        <v>2601</v>
      </c>
      <c r="B2671" s="1" t="str">
        <f>"20644291.2"</f>
        <v>20644291.2</v>
      </c>
      <c r="C2671" t="s">
        <v>2621</v>
      </c>
      <c r="D2671" t="s">
        <v>2624</v>
      </c>
      <c r="E2671" s="2"/>
      <c r="F2671" t="s">
        <v>22</v>
      </c>
      <c r="G2671" t="s">
        <v>533</v>
      </c>
      <c r="H2671" t="s">
        <v>517</v>
      </c>
      <c r="I2671"/>
    </row>
    <row r="2672" spans="1:9">
      <c r="A2672" t="s">
        <v>2601</v>
      </c>
      <c r="B2672" s="1" t="str">
        <f>"20515485"</f>
        <v>20515485</v>
      </c>
      <c r="C2672" t="s">
        <v>2625</v>
      </c>
      <c r="D2672" t="s">
        <v>2626</v>
      </c>
      <c r="E2672" s="2"/>
      <c r="F2672" t="s">
        <v>250</v>
      </c>
      <c r="G2672" t="s">
        <v>1059</v>
      </c>
      <c r="H2672" t="s">
        <v>1059</v>
      </c>
      <c r="I2672"/>
    </row>
    <row r="2673" spans="1:9">
      <c r="A2673" t="s">
        <v>2601</v>
      </c>
      <c r="B2673" s="1" t="str">
        <f>"20191887"</f>
        <v>20191887</v>
      </c>
      <c r="C2673" t="s">
        <v>2627</v>
      </c>
      <c r="D2673" t="s">
        <v>2628</v>
      </c>
      <c r="E2673" s="2"/>
      <c r="F2673" t="s">
        <v>90</v>
      </c>
      <c r="G2673" t="s">
        <v>1034</v>
      </c>
      <c r="H2673" t="s">
        <v>1034</v>
      </c>
      <c r="I2673"/>
    </row>
    <row r="2674" spans="1:9">
      <c r="A2674" t="s">
        <v>2601</v>
      </c>
      <c r="B2674" s="1" t="str">
        <f>"20191887.2"</f>
        <v>20191887.2</v>
      </c>
      <c r="C2674" t="s">
        <v>2627</v>
      </c>
      <c r="D2674" t="s">
        <v>2628</v>
      </c>
      <c r="E2674" s="2"/>
      <c r="F2674" t="s">
        <v>90</v>
      </c>
      <c r="G2674" t="s">
        <v>1034</v>
      </c>
      <c r="H2674" t="s">
        <v>1088</v>
      </c>
      <c r="I2674"/>
    </row>
    <row r="2675" spans="1:9">
      <c r="A2675" t="s">
        <v>2601</v>
      </c>
      <c r="B2675" s="1" t="str">
        <f>"20191986"</f>
        <v>20191986</v>
      </c>
      <c r="C2675" t="s">
        <v>2627</v>
      </c>
      <c r="D2675" t="s">
        <v>2629</v>
      </c>
      <c r="E2675" s="2"/>
      <c r="F2675"/>
      <c r="G2675" t="s">
        <v>80</v>
      </c>
      <c r="H2675" t="s">
        <v>80</v>
      </c>
      <c r="I2675"/>
    </row>
    <row r="2676" spans="1:9">
      <c r="A2676" t="s">
        <v>2601</v>
      </c>
      <c r="B2676" s="1" t="str">
        <f>"20191986.2"</f>
        <v>20191986.2</v>
      </c>
      <c r="C2676" t="s">
        <v>2627</v>
      </c>
      <c r="D2676" t="s">
        <v>2629</v>
      </c>
      <c r="E2676" s="2"/>
      <c r="F2676"/>
      <c r="G2676" t="s">
        <v>80</v>
      </c>
      <c r="H2676" t="s">
        <v>218</v>
      </c>
      <c r="I2676"/>
    </row>
    <row r="2677" spans="1:9">
      <c r="A2677" t="s">
        <v>2601</v>
      </c>
      <c r="B2677" s="1" t="str">
        <f>"20191948"</f>
        <v>20191948</v>
      </c>
      <c r="C2677" t="s">
        <v>2627</v>
      </c>
      <c r="D2677" t="s">
        <v>2630</v>
      </c>
      <c r="E2677" s="2"/>
      <c r="F2677" t="s">
        <v>90</v>
      </c>
      <c r="G2677" t="s">
        <v>1034</v>
      </c>
      <c r="H2677" t="s">
        <v>1034</v>
      </c>
      <c r="I2677"/>
    </row>
    <row r="2678" spans="1:9">
      <c r="A2678" t="s">
        <v>2601</v>
      </c>
      <c r="B2678" s="1" t="str">
        <f>"20191948.2"</f>
        <v>20191948.2</v>
      </c>
      <c r="C2678" t="s">
        <v>2627</v>
      </c>
      <c r="D2678" t="s">
        <v>2630</v>
      </c>
      <c r="E2678" s="2"/>
      <c r="F2678" t="s">
        <v>90</v>
      </c>
      <c r="G2678" t="s">
        <v>1034</v>
      </c>
      <c r="H2678" t="s">
        <v>1088</v>
      </c>
      <c r="I2678"/>
    </row>
    <row r="2679" spans="1:9">
      <c r="A2679" t="s">
        <v>2601</v>
      </c>
      <c r="B2679" s="1" t="str">
        <f>"20266647"</f>
        <v>20266647</v>
      </c>
      <c r="C2679" t="s">
        <v>2627</v>
      </c>
      <c r="D2679" t="s">
        <v>2631</v>
      </c>
      <c r="E2679" s="2"/>
      <c r="F2679"/>
      <c r="G2679" t="s">
        <v>80</v>
      </c>
      <c r="H2679" t="s">
        <v>80</v>
      </c>
      <c r="I2679"/>
    </row>
    <row r="2680" spans="1:9">
      <c r="A2680" t="s">
        <v>2601</v>
      </c>
      <c r="B2680" s="1" t="str">
        <f>"20266647.2"</f>
        <v>20266647.2</v>
      </c>
      <c r="C2680" t="s">
        <v>2627</v>
      </c>
      <c r="D2680" t="s">
        <v>2631</v>
      </c>
      <c r="E2680" s="2"/>
      <c r="F2680"/>
      <c r="G2680" t="s">
        <v>80</v>
      </c>
      <c r="H2680" t="s">
        <v>218</v>
      </c>
      <c r="I2680"/>
    </row>
    <row r="2681" spans="1:9">
      <c r="A2681" t="s">
        <v>2601</v>
      </c>
      <c r="B2681" s="1" t="str">
        <f>"20014985"</f>
        <v>20014985</v>
      </c>
      <c r="C2681" t="s">
        <v>2627</v>
      </c>
      <c r="D2681" t="s">
        <v>2632</v>
      </c>
      <c r="E2681" s="2"/>
      <c r="F2681" t="s">
        <v>68</v>
      </c>
      <c r="G2681" t="s">
        <v>54</v>
      </c>
      <c r="H2681" t="s">
        <v>54</v>
      </c>
      <c r="I2681"/>
    </row>
    <row r="2682" spans="1:9">
      <c r="A2682" t="s">
        <v>2601</v>
      </c>
      <c r="B2682" s="1" t="str">
        <f>"20014984"</f>
        <v>20014984</v>
      </c>
      <c r="C2682" t="s">
        <v>2627</v>
      </c>
      <c r="D2682" t="s">
        <v>2633</v>
      </c>
      <c r="E2682" s="2"/>
      <c r="F2682" t="s">
        <v>2634</v>
      </c>
      <c r="G2682" t="s">
        <v>2635</v>
      </c>
      <c r="H2682" t="s">
        <v>2635</v>
      </c>
      <c r="I2682"/>
    </row>
    <row r="2683" spans="1:9">
      <c r="A2683" t="s">
        <v>2601</v>
      </c>
      <c r="B2683" s="1" t="str">
        <f>"20014986"</f>
        <v>20014986</v>
      </c>
      <c r="C2683" t="s">
        <v>2627</v>
      </c>
      <c r="D2683" t="s">
        <v>2636</v>
      </c>
      <c r="E2683" s="2"/>
      <c r="F2683" t="s">
        <v>2637</v>
      </c>
      <c r="G2683" t="s">
        <v>54</v>
      </c>
      <c r="H2683" t="s">
        <v>54</v>
      </c>
      <c r="I2683"/>
    </row>
    <row r="2684" spans="1:9">
      <c r="A2684" t="s">
        <v>2601</v>
      </c>
      <c r="B2684" s="1" t="str">
        <f>"20061487"</f>
        <v>20061487</v>
      </c>
      <c r="C2684" t="s">
        <v>2627</v>
      </c>
      <c r="D2684" t="s">
        <v>2638</v>
      </c>
      <c r="E2684" s="2"/>
      <c r="F2684" t="s">
        <v>68</v>
      </c>
      <c r="G2684" t="s">
        <v>37</v>
      </c>
      <c r="H2684" t="s">
        <v>37</v>
      </c>
      <c r="I2684"/>
    </row>
    <row r="2685" spans="1:9">
      <c r="A2685" t="s">
        <v>2639</v>
      </c>
      <c r="B2685" s="1" t="str">
        <f>"20047597"</f>
        <v>20047597</v>
      </c>
      <c r="C2685" t="s">
        <v>225</v>
      </c>
      <c r="D2685" t="s">
        <v>2640</v>
      </c>
      <c r="E2685" s="2"/>
      <c r="F2685" t="s">
        <v>428</v>
      </c>
      <c r="G2685" t="s">
        <v>952</v>
      </c>
      <c r="H2685" t="s">
        <v>952</v>
      </c>
      <c r="I2685"/>
    </row>
    <row r="2686" spans="1:9">
      <c r="A2686" t="s">
        <v>2639</v>
      </c>
      <c r="B2686" s="1" t="str">
        <f>"20054991"</f>
        <v>20054991</v>
      </c>
      <c r="C2686" t="s">
        <v>2641</v>
      </c>
      <c r="D2686" t="s">
        <v>2642</v>
      </c>
      <c r="E2686" s="2"/>
      <c r="F2686" t="s">
        <v>105</v>
      </c>
      <c r="G2686" t="s">
        <v>952</v>
      </c>
      <c r="H2686" t="s">
        <v>952</v>
      </c>
      <c r="I2686"/>
    </row>
    <row r="2687" spans="1:9">
      <c r="A2687" t="s">
        <v>2639</v>
      </c>
      <c r="B2687" s="1" t="str">
        <f>"20054991.2"</f>
        <v>20054991.2</v>
      </c>
      <c r="C2687" t="s">
        <v>2641</v>
      </c>
      <c r="D2687" t="s">
        <v>2642</v>
      </c>
      <c r="E2687" s="2"/>
      <c r="F2687" t="s">
        <v>105</v>
      </c>
      <c r="G2687" t="s">
        <v>952</v>
      </c>
      <c r="H2687" t="s">
        <v>383</v>
      </c>
      <c r="I2687"/>
    </row>
    <row r="2688" spans="1:9">
      <c r="A2688" t="s">
        <v>2639</v>
      </c>
      <c r="B2688" s="1" t="str">
        <f>"20054922"</f>
        <v>20054922</v>
      </c>
      <c r="C2688" t="s">
        <v>2641</v>
      </c>
      <c r="D2688" t="s">
        <v>2643</v>
      </c>
      <c r="E2688" s="2"/>
      <c r="F2688" t="s">
        <v>105</v>
      </c>
      <c r="G2688" t="s">
        <v>952</v>
      </c>
      <c r="H2688" t="s">
        <v>952</v>
      </c>
      <c r="I2688"/>
    </row>
    <row r="2689" spans="1:9">
      <c r="A2689" t="s">
        <v>2639</v>
      </c>
      <c r="B2689" s="1" t="str">
        <f>"20054922.2"</f>
        <v>20054922.2</v>
      </c>
      <c r="C2689" t="s">
        <v>2641</v>
      </c>
      <c r="D2689" t="s">
        <v>2643</v>
      </c>
      <c r="E2689" s="2"/>
      <c r="F2689" t="s">
        <v>105</v>
      </c>
      <c r="G2689" t="s">
        <v>952</v>
      </c>
      <c r="H2689" t="s">
        <v>383</v>
      </c>
      <c r="I2689"/>
    </row>
    <row r="2690" spans="1:9">
      <c r="A2690" t="s">
        <v>2639</v>
      </c>
      <c r="B2690" s="1" t="str">
        <f>"20168995"</f>
        <v>20168995</v>
      </c>
      <c r="C2690" t="s">
        <v>2641</v>
      </c>
      <c r="D2690" t="s">
        <v>2644</v>
      </c>
      <c r="E2690" s="2"/>
      <c r="F2690" t="s">
        <v>105</v>
      </c>
      <c r="G2690" t="s">
        <v>952</v>
      </c>
      <c r="H2690" t="s">
        <v>952</v>
      </c>
      <c r="I2690"/>
    </row>
    <row r="2691" spans="1:9">
      <c r="A2691" t="s">
        <v>2639</v>
      </c>
      <c r="B2691" s="1" t="str">
        <f>"20168995.2"</f>
        <v>20168995.2</v>
      </c>
      <c r="C2691" t="s">
        <v>2641</v>
      </c>
      <c r="D2691" t="s">
        <v>2644</v>
      </c>
      <c r="E2691" s="2"/>
      <c r="F2691" t="s">
        <v>105</v>
      </c>
      <c r="G2691" t="s">
        <v>952</v>
      </c>
      <c r="H2691" t="s">
        <v>383</v>
      </c>
      <c r="I2691"/>
    </row>
    <row r="2692" spans="1:9">
      <c r="A2692" t="s">
        <v>2639</v>
      </c>
      <c r="B2692" s="1" t="str">
        <f>"20049928"</f>
        <v>20049928</v>
      </c>
      <c r="C2692" t="s">
        <v>2641</v>
      </c>
      <c r="D2692" t="s">
        <v>2645</v>
      </c>
      <c r="E2692" s="2"/>
      <c r="F2692" t="s">
        <v>105</v>
      </c>
      <c r="G2692" t="s">
        <v>533</v>
      </c>
      <c r="H2692" t="s">
        <v>533</v>
      </c>
      <c r="I2692"/>
    </row>
    <row r="2693" spans="1:9">
      <c r="A2693" t="s">
        <v>2639</v>
      </c>
      <c r="B2693" s="1" t="str">
        <f>"20036270"</f>
        <v>20036270</v>
      </c>
      <c r="C2693" t="s">
        <v>2621</v>
      </c>
      <c r="D2693" t="s">
        <v>2646</v>
      </c>
      <c r="E2693" s="2"/>
      <c r="F2693" t="s">
        <v>90</v>
      </c>
      <c r="G2693" t="s">
        <v>80</v>
      </c>
      <c r="H2693" t="s">
        <v>322</v>
      </c>
      <c r="I2693"/>
    </row>
    <row r="2694" spans="1:9">
      <c r="A2694" t="s">
        <v>2639</v>
      </c>
      <c r="B2694" s="1" t="str">
        <f>"20061463"</f>
        <v>20061463</v>
      </c>
      <c r="C2694" t="s">
        <v>2647</v>
      </c>
      <c r="D2694" t="s">
        <v>2648</v>
      </c>
      <c r="E2694" s="2"/>
      <c r="F2694" t="s">
        <v>90</v>
      </c>
      <c r="G2694" t="s">
        <v>952</v>
      </c>
      <c r="H2694" t="s">
        <v>952</v>
      </c>
      <c r="I2694"/>
    </row>
    <row r="2695" spans="1:9">
      <c r="A2695" t="s">
        <v>2639</v>
      </c>
      <c r="B2695" s="1" t="str">
        <f>"20061463.2"</f>
        <v>20061463.2</v>
      </c>
      <c r="C2695" t="s">
        <v>2647</v>
      </c>
      <c r="D2695" t="s">
        <v>2648</v>
      </c>
      <c r="E2695" s="2"/>
      <c r="F2695" t="s">
        <v>90</v>
      </c>
      <c r="G2695" t="s">
        <v>952</v>
      </c>
      <c r="H2695" t="s">
        <v>383</v>
      </c>
      <c r="I2695"/>
    </row>
    <row r="2696" spans="1:9">
      <c r="A2696" t="s">
        <v>2639</v>
      </c>
      <c r="B2696" s="1" t="str">
        <f>"20061524"</f>
        <v>20061524</v>
      </c>
      <c r="C2696" t="s">
        <v>2647</v>
      </c>
      <c r="D2696" t="s">
        <v>2648</v>
      </c>
      <c r="E2696" s="2"/>
      <c r="F2696" t="s">
        <v>1353</v>
      </c>
      <c r="G2696" t="s">
        <v>262</v>
      </c>
      <c r="H2696" t="s">
        <v>571</v>
      </c>
      <c r="I2696"/>
    </row>
    <row r="2697" spans="1:9">
      <c r="A2697" t="s">
        <v>2639</v>
      </c>
      <c r="B2697" s="1" t="str">
        <f>"20023867"</f>
        <v>20023867</v>
      </c>
      <c r="C2697" t="s">
        <v>2647</v>
      </c>
      <c r="D2697" t="s">
        <v>2649</v>
      </c>
      <c r="E2697" s="2"/>
      <c r="F2697" t="s">
        <v>105</v>
      </c>
      <c r="G2697" t="s">
        <v>598</v>
      </c>
      <c r="H2697" t="s">
        <v>598</v>
      </c>
      <c r="I2697"/>
    </row>
    <row r="2698" spans="1:9">
      <c r="A2698" t="s">
        <v>2639</v>
      </c>
      <c r="B2698" s="1" t="str">
        <f>"20023867.2"</f>
        <v>20023867.2</v>
      </c>
      <c r="C2698" t="s">
        <v>2647</v>
      </c>
      <c r="D2698" t="s">
        <v>2649</v>
      </c>
      <c r="E2698" s="2"/>
      <c r="F2698" t="s">
        <v>105</v>
      </c>
      <c r="G2698" t="s">
        <v>598</v>
      </c>
      <c r="H2698" t="s">
        <v>517</v>
      </c>
      <c r="I2698"/>
    </row>
    <row r="2699" spans="1:9">
      <c r="A2699" t="s">
        <v>2639</v>
      </c>
      <c r="B2699" s="1" t="str">
        <f>"20210120"</f>
        <v>20210120</v>
      </c>
      <c r="C2699" t="s">
        <v>320</v>
      </c>
      <c r="D2699" t="s">
        <v>2650</v>
      </c>
      <c r="E2699" s="2"/>
      <c r="F2699" t="s">
        <v>717</v>
      </c>
      <c r="G2699" t="s">
        <v>13</v>
      </c>
      <c r="H2699" t="s">
        <v>13</v>
      </c>
      <c r="I2699"/>
    </row>
    <row r="2700" spans="1:9">
      <c r="A2700" t="s">
        <v>2639</v>
      </c>
      <c r="B2700" s="1" t="str">
        <f>"20210120.2"</f>
        <v>20210120.2</v>
      </c>
      <c r="C2700" t="s">
        <v>320</v>
      </c>
      <c r="D2700" t="s">
        <v>2650</v>
      </c>
      <c r="E2700" s="2"/>
      <c r="F2700" t="s">
        <v>717</v>
      </c>
      <c r="G2700" t="s">
        <v>13</v>
      </c>
      <c r="H2700" t="s">
        <v>218</v>
      </c>
      <c r="I2700"/>
    </row>
    <row r="2701" spans="1:9">
      <c r="A2701" t="s">
        <v>2639</v>
      </c>
      <c r="B2701" s="1" t="str">
        <f>"20087333"</f>
        <v>20087333</v>
      </c>
      <c r="C2701" t="s">
        <v>320</v>
      </c>
      <c r="D2701" t="s">
        <v>2651</v>
      </c>
      <c r="E2701" s="2"/>
      <c r="F2701" t="s">
        <v>90</v>
      </c>
      <c r="G2701" t="s">
        <v>1059</v>
      </c>
      <c r="H2701" t="s">
        <v>1059</v>
      </c>
      <c r="I2701"/>
    </row>
    <row r="2702" spans="1:9">
      <c r="A2702" t="s">
        <v>2639</v>
      </c>
      <c r="B2702" s="1" t="str">
        <f>"20087333.2"</f>
        <v>20087333.2</v>
      </c>
      <c r="C2702" t="s">
        <v>320</v>
      </c>
      <c r="D2702" t="s">
        <v>2651</v>
      </c>
      <c r="E2702" s="2"/>
      <c r="F2702" t="s">
        <v>90</v>
      </c>
      <c r="G2702" t="s">
        <v>1059</v>
      </c>
      <c r="H2702" t="s">
        <v>383</v>
      </c>
      <c r="I2702"/>
    </row>
    <row r="2703" spans="1:9">
      <c r="A2703" t="s">
        <v>2639</v>
      </c>
      <c r="B2703" s="1" t="str">
        <f>"20013202"</f>
        <v>20013202</v>
      </c>
      <c r="C2703" t="s">
        <v>2652</v>
      </c>
      <c r="D2703" t="s">
        <v>2653</v>
      </c>
      <c r="E2703" s="2"/>
      <c r="F2703" t="s">
        <v>105</v>
      </c>
      <c r="G2703" t="s">
        <v>533</v>
      </c>
      <c r="H2703" t="s">
        <v>533</v>
      </c>
      <c r="I2703"/>
    </row>
    <row r="2704" spans="1:9">
      <c r="A2704" t="s">
        <v>2654</v>
      </c>
      <c r="B2704" s="1" t="str">
        <f>"23211113"</f>
        <v>23211113</v>
      </c>
      <c r="C2704" t="s">
        <v>2655</v>
      </c>
      <c r="D2704" t="s">
        <v>2656</v>
      </c>
      <c r="E2704" s="2"/>
      <c r="F2704" t="s">
        <v>239</v>
      </c>
      <c r="G2704" t="s">
        <v>370</v>
      </c>
      <c r="H2704" t="s">
        <v>370</v>
      </c>
      <c r="I2704"/>
    </row>
    <row r="2705" spans="1:9">
      <c r="A2705" t="s">
        <v>2654</v>
      </c>
      <c r="B2705" s="1" t="str">
        <f>"24373359"</f>
        <v>24373359</v>
      </c>
      <c r="C2705" t="s">
        <v>2655</v>
      </c>
      <c r="D2705" t="s">
        <v>2657</v>
      </c>
      <c r="E2705" s="2"/>
      <c r="F2705" t="s">
        <v>239</v>
      </c>
      <c r="G2705" t="s">
        <v>370</v>
      </c>
      <c r="H2705" t="s">
        <v>370</v>
      </c>
      <c r="I2705"/>
    </row>
    <row r="2706" spans="1:9">
      <c r="A2706" t="s">
        <v>2654</v>
      </c>
      <c r="B2706" s="1" t="str">
        <f>"22702876"</f>
        <v>22702876</v>
      </c>
      <c r="C2706" t="s">
        <v>2655</v>
      </c>
      <c r="D2706" t="s">
        <v>2658</v>
      </c>
      <c r="E2706" s="2"/>
      <c r="F2706" t="s">
        <v>239</v>
      </c>
      <c r="G2706" t="s">
        <v>370</v>
      </c>
      <c r="H2706" t="s">
        <v>370</v>
      </c>
      <c r="I2706"/>
    </row>
    <row r="2707" spans="1:9">
      <c r="A2707" t="s">
        <v>2654</v>
      </c>
      <c r="B2707" s="1" t="str">
        <f>"22810326"</f>
        <v>22810326</v>
      </c>
      <c r="C2707" t="s">
        <v>2655</v>
      </c>
      <c r="D2707" t="s">
        <v>2659</v>
      </c>
      <c r="E2707" s="2"/>
      <c r="F2707" t="s">
        <v>239</v>
      </c>
      <c r="G2707" t="s">
        <v>370</v>
      </c>
      <c r="H2707" t="s">
        <v>370</v>
      </c>
      <c r="I2707"/>
    </row>
    <row r="2708" spans="1:9">
      <c r="A2708" t="s">
        <v>2654</v>
      </c>
      <c r="B2708" s="1" t="str">
        <f>"22396264"</f>
        <v>22396264</v>
      </c>
      <c r="C2708" t="s">
        <v>2655</v>
      </c>
      <c r="D2708" t="s">
        <v>2660</v>
      </c>
      <c r="E2708" s="2"/>
      <c r="F2708" t="s">
        <v>239</v>
      </c>
      <c r="G2708" t="s">
        <v>370</v>
      </c>
      <c r="H2708" t="s">
        <v>370</v>
      </c>
      <c r="I2708"/>
    </row>
    <row r="2709" spans="1:9">
      <c r="A2709" t="s">
        <v>2654</v>
      </c>
      <c r="B2709" s="1" t="str">
        <f>"24373175"</f>
        <v>24373175</v>
      </c>
      <c r="C2709" t="s">
        <v>2655</v>
      </c>
      <c r="D2709" t="s">
        <v>2661</v>
      </c>
      <c r="E2709" s="2"/>
      <c r="F2709" t="s">
        <v>239</v>
      </c>
      <c r="G2709" t="s">
        <v>370</v>
      </c>
      <c r="H2709" t="s">
        <v>370</v>
      </c>
      <c r="I2709"/>
    </row>
    <row r="2710" spans="1:9">
      <c r="A2710" t="s">
        <v>2654</v>
      </c>
      <c r="B2710" s="1" t="str">
        <f>"24597186"</f>
        <v>24597186</v>
      </c>
      <c r="C2710" t="s">
        <v>2655</v>
      </c>
      <c r="D2710" t="s">
        <v>2662</v>
      </c>
      <c r="E2710" s="2"/>
      <c r="F2710" t="s">
        <v>239</v>
      </c>
      <c r="G2710" t="s">
        <v>370</v>
      </c>
      <c r="H2710" t="s">
        <v>370</v>
      </c>
      <c r="I2710"/>
    </row>
    <row r="2711" spans="1:9">
      <c r="A2711" t="s">
        <v>2663</v>
      </c>
      <c r="B2711" s="1" t="str">
        <f>"12014151"</f>
        <v>12014151</v>
      </c>
      <c r="C2711" t="s">
        <v>2664</v>
      </c>
      <c r="D2711" t="s">
        <v>2665</v>
      </c>
      <c r="E2711" s="2"/>
      <c r="F2711" t="s">
        <v>2666</v>
      </c>
      <c r="G2711" t="s">
        <v>2414</v>
      </c>
      <c r="H2711" t="s">
        <v>2414</v>
      </c>
      <c r="I2711"/>
    </row>
    <row r="2712" spans="1:9">
      <c r="A2712" t="s">
        <v>2663</v>
      </c>
      <c r="B2712" s="1" t="str">
        <f>"27751705"</f>
        <v>27751705</v>
      </c>
      <c r="C2712" t="s">
        <v>320</v>
      </c>
      <c r="D2712" t="s">
        <v>2667</v>
      </c>
      <c r="E2712" s="2"/>
      <c r="F2712" t="s">
        <v>12</v>
      </c>
      <c r="G2712" t="s">
        <v>25</v>
      </c>
      <c r="H2712" t="s">
        <v>25</v>
      </c>
      <c r="I2712"/>
    </row>
    <row r="2713" spans="1:9">
      <c r="A2713" t="s">
        <v>2654</v>
      </c>
      <c r="B2713" s="1" t="str">
        <f>"22810331"</f>
        <v>22810331</v>
      </c>
      <c r="C2713" t="s">
        <v>2668</v>
      </c>
      <c r="D2713" t="s">
        <v>2669</v>
      </c>
      <c r="E2713" s="2"/>
      <c r="F2713" t="s">
        <v>239</v>
      </c>
      <c r="G2713" t="s">
        <v>25</v>
      </c>
      <c r="H2713" t="s">
        <v>25</v>
      </c>
      <c r="I2713"/>
    </row>
    <row r="2714" spans="1:9">
      <c r="A2714" t="s">
        <v>2654</v>
      </c>
      <c r="B2714" s="1" t="str">
        <f>"22810332"</f>
        <v>22810332</v>
      </c>
      <c r="C2714" t="s">
        <v>2668</v>
      </c>
      <c r="D2714" t="s">
        <v>2670</v>
      </c>
      <c r="E2714" s="2"/>
      <c r="F2714" t="s">
        <v>239</v>
      </c>
      <c r="G2714" t="s">
        <v>25</v>
      </c>
      <c r="H2714" t="s">
        <v>25</v>
      </c>
      <c r="I2714"/>
    </row>
    <row r="2715" spans="1:9">
      <c r="A2715" t="s">
        <v>2663</v>
      </c>
      <c r="B2715" s="1" t="str">
        <f>"12120615"</f>
        <v>12120615</v>
      </c>
      <c r="C2715" t="s">
        <v>2668</v>
      </c>
      <c r="D2715" t="s">
        <v>2671</v>
      </c>
      <c r="E2715" s="2"/>
      <c r="F2715"/>
      <c r="G2715" t="s">
        <v>2414</v>
      </c>
      <c r="H2715" t="s">
        <v>2414</v>
      </c>
      <c r="I2715"/>
    </row>
    <row r="2716" spans="1:9">
      <c r="A2716" t="s">
        <v>2654</v>
      </c>
      <c r="B2716" s="1" t="str">
        <f>"23211113"</f>
        <v>23211113</v>
      </c>
      <c r="C2716" t="s">
        <v>2655</v>
      </c>
      <c r="D2716" t="s">
        <v>2656</v>
      </c>
      <c r="E2716" s="2"/>
      <c r="F2716" t="s">
        <v>239</v>
      </c>
      <c r="G2716" t="s">
        <v>370</v>
      </c>
      <c r="H2716" t="s">
        <v>370</v>
      </c>
      <c r="I2716"/>
    </row>
    <row r="2717" spans="1:9">
      <c r="A2717" t="s">
        <v>2654</v>
      </c>
      <c r="B2717" s="1" t="str">
        <f>"24373359"</f>
        <v>24373359</v>
      </c>
      <c r="C2717" t="s">
        <v>2655</v>
      </c>
      <c r="D2717" t="s">
        <v>2657</v>
      </c>
      <c r="E2717" s="2"/>
      <c r="F2717" t="s">
        <v>239</v>
      </c>
      <c r="G2717" t="s">
        <v>370</v>
      </c>
      <c r="H2717" t="s">
        <v>370</v>
      </c>
      <c r="I2717"/>
    </row>
    <row r="2718" spans="1:9">
      <c r="A2718" t="s">
        <v>2654</v>
      </c>
      <c r="B2718" s="1" t="str">
        <f>"22702876"</f>
        <v>22702876</v>
      </c>
      <c r="C2718" t="s">
        <v>2655</v>
      </c>
      <c r="D2718" t="s">
        <v>2658</v>
      </c>
      <c r="E2718" s="2"/>
      <c r="F2718" t="s">
        <v>239</v>
      </c>
      <c r="G2718" t="s">
        <v>370</v>
      </c>
      <c r="H2718" t="s">
        <v>370</v>
      </c>
      <c r="I2718"/>
    </row>
    <row r="2719" spans="1:9">
      <c r="A2719" t="s">
        <v>2654</v>
      </c>
      <c r="B2719" s="1" t="str">
        <f>"22810326"</f>
        <v>22810326</v>
      </c>
      <c r="C2719" t="s">
        <v>2655</v>
      </c>
      <c r="D2719" t="s">
        <v>2659</v>
      </c>
      <c r="E2719" s="2"/>
      <c r="F2719" t="s">
        <v>239</v>
      </c>
      <c r="G2719" t="s">
        <v>370</v>
      </c>
      <c r="H2719" t="s">
        <v>370</v>
      </c>
      <c r="I2719"/>
    </row>
    <row r="2720" spans="1:9">
      <c r="A2720" t="s">
        <v>2654</v>
      </c>
      <c r="B2720" s="1" t="str">
        <f>"22396264"</f>
        <v>22396264</v>
      </c>
      <c r="C2720" t="s">
        <v>2655</v>
      </c>
      <c r="D2720" t="s">
        <v>2660</v>
      </c>
      <c r="E2720" s="2"/>
      <c r="F2720" t="s">
        <v>239</v>
      </c>
      <c r="G2720" t="s">
        <v>370</v>
      </c>
      <c r="H2720" t="s">
        <v>370</v>
      </c>
      <c r="I2720"/>
    </row>
    <row r="2721" spans="1:9">
      <c r="A2721" t="s">
        <v>2654</v>
      </c>
      <c r="B2721" s="1" t="str">
        <f>"24373175"</f>
        <v>24373175</v>
      </c>
      <c r="C2721" t="s">
        <v>2655</v>
      </c>
      <c r="D2721" t="s">
        <v>2661</v>
      </c>
      <c r="E2721" s="2"/>
      <c r="F2721" t="s">
        <v>239</v>
      </c>
      <c r="G2721" t="s">
        <v>370</v>
      </c>
      <c r="H2721" t="s">
        <v>370</v>
      </c>
      <c r="I2721"/>
    </row>
    <row r="2722" spans="1:9">
      <c r="A2722" t="s">
        <v>2654</v>
      </c>
      <c r="B2722" s="1" t="str">
        <f>"24597186"</f>
        <v>24597186</v>
      </c>
      <c r="C2722" t="s">
        <v>2655</v>
      </c>
      <c r="D2722" t="s">
        <v>2662</v>
      </c>
      <c r="E2722" s="2"/>
      <c r="F2722" t="s">
        <v>239</v>
      </c>
      <c r="G2722" t="s">
        <v>370</v>
      </c>
      <c r="H2722" t="s">
        <v>370</v>
      </c>
      <c r="I2722"/>
    </row>
    <row r="2723" spans="1:9">
      <c r="A2723" t="s">
        <v>2654</v>
      </c>
      <c r="B2723" s="1" t="str">
        <f>"20798752"</f>
        <v>20798752</v>
      </c>
      <c r="C2723" t="s">
        <v>2672</v>
      </c>
      <c r="D2723" t="s">
        <v>2673</v>
      </c>
      <c r="E2723" s="2"/>
      <c r="F2723" t="s">
        <v>12</v>
      </c>
      <c r="G2723" t="s">
        <v>146</v>
      </c>
      <c r="H2723" t="s">
        <v>146</v>
      </c>
      <c r="I2723"/>
    </row>
    <row r="2724" spans="1:9">
      <c r="A2724" t="s">
        <v>2654</v>
      </c>
      <c r="B2724" s="1" t="str">
        <f>"22420662"</f>
        <v>22420662</v>
      </c>
      <c r="C2724" t="s">
        <v>2672</v>
      </c>
      <c r="D2724" t="s">
        <v>2674</v>
      </c>
      <c r="E2724" s="2"/>
      <c r="F2724" t="s">
        <v>12</v>
      </c>
      <c r="G2724" t="s">
        <v>146</v>
      </c>
      <c r="H2724" t="s">
        <v>146</v>
      </c>
      <c r="I2724"/>
    </row>
    <row r="2725" spans="1:9">
      <c r="A2725" t="s">
        <v>2654</v>
      </c>
      <c r="B2725" s="1" t="str">
        <f>"20816549"</f>
        <v>20816549</v>
      </c>
      <c r="C2725" t="s">
        <v>2672</v>
      </c>
      <c r="D2725" t="s">
        <v>2675</v>
      </c>
      <c r="E2725" s="2"/>
      <c r="F2725" t="s">
        <v>12</v>
      </c>
      <c r="G2725" t="s">
        <v>146</v>
      </c>
      <c r="H2725" t="s">
        <v>146</v>
      </c>
      <c r="I2725"/>
    </row>
    <row r="2726" spans="1:9">
      <c r="A2726" t="s">
        <v>2654</v>
      </c>
      <c r="B2726" s="1" t="str">
        <f>"20498465"</f>
        <v>20498465</v>
      </c>
      <c r="C2726" t="s">
        <v>2672</v>
      </c>
      <c r="D2726" t="s">
        <v>2676</v>
      </c>
      <c r="E2726" s="2"/>
      <c r="F2726" t="s">
        <v>12</v>
      </c>
      <c r="G2726" t="s">
        <v>146</v>
      </c>
      <c r="H2726" t="s">
        <v>146</v>
      </c>
      <c r="I2726"/>
    </row>
    <row r="2727" spans="1:9">
      <c r="A2727" t="s">
        <v>2654</v>
      </c>
      <c r="B2727" s="1" t="str">
        <f>"20299535"</f>
        <v>20299535</v>
      </c>
      <c r="C2727" t="s">
        <v>2672</v>
      </c>
      <c r="D2727" t="s">
        <v>2677</v>
      </c>
      <c r="E2727" s="2"/>
      <c r="F2727" t="s">
        <v>12</v>
      </c>
      <c r="G2727" t="s">
        <v>146</v>
      </c>
      <c r="H2727" t="s">
        <v>146</v>
      </c>
      <c r="I2727"/>
    </row>
    <row r="2728" spans="1:9">
      <c r="A2728" t="s">
        <v>2654</v>
      </c>
      <c r="B2728" s="1" t="str">
        <f>"12223605"</f>
        <v>12223605</v>
      </c>
      <c r="C2728" t="s">
        <v>2672</v>
      </c>
      <c r="D2728" t="s">
        <v>2678</v>
      </c>
      <c r="E2728" s="2"/>
      <c r="F2728" t="s">
        <v>12</v>
      </c>
      <c r="G2728" t="s">
        <v>146</v>
      </c>
      <c r="H2728" t="s">
        <v>146</v>
      </c>
      <c r="I2728"/>
    </row>
    <row r="2729" spans="1:9">
      <c r="A2729" t="s">
        <v>2654</v>
      </c>
      <c r="B2729" s="1" t="str">
        <f>"20224516"</f>
        <v>20224516</v>
      </c>
      <c r="C2729" t="s">
        <v>2672</v>
      </c>
      <c r="D2729" t="s">
        <v>2679</v>
      </c>
      <c r="E2729" s="2"/>
      <c r="F2729" t="s">
        <v>66</v>
      </c>
      <c r="G2729" t="s">
        <v>25</v>
      </c>
      <c r="H2729" t="s">
        <v>25</v>
      </c>
      <c r="I2729"/>
    </row>
    <row r="2730" spans="1:9">
      <c r="A2730" t="s">
        <v>2654</v>
      </c>
      <c r="B2730" s="1" t="str">
        <f>"20171201"</f>
        <v>20171201</v>
      </c>
      <c r="C2730" t="s">
        <v>2672</v>
      </c>
      <c r="D2730" t="s">
        <v>2680</v>
      </c>
      <c r="E2730" s="2"/>
      <c r="F2730" t="s">
        <v>12</v>
      </c>
      <c r="G2730" t="s">
        <v>146</v>
      </c>
      <c r="H2730" t="s">
        <v>146</v>
      </c>
      <c r="I2730"/>
    </row>
    <row r="2731" spans="1:9">
      <c r="A2731" t="s">
        <v>2654</v>
      </c>
      <c r="B2731" s="1" t="str">
        <f>"20171202"</f>
        <v>20171202</v>
      </c>
      <c r="C2731" t="s">
        <v>2672</v>
      </c>
      <c r="D2731" t="s">
        <v>2681</v>
      </c>
      <c r="E2731" s="2"/>
      <c r="F2731" t="s">
        <v>12</v>
      </c>
      <c r="G2731" t="s">
        <v>146</v>
      </c>
      <c r="H2731" t="s">
        <v>146</v>
      </c>
      <c r="I2731"/>
    </row>
    <row r="2732" spans="1:9">
      <c r="A2732" t="s">
        <v>2654</v>
      </c>
      <c r="B2732" s="1" t="str">
        <f>"20171203"</f>
        <v>20171203</v>
      </c>
      <c r="C2732" t="s">
        <v>2672</v>
      </c>
      <c r="D2732" t="s">
        <v>2682</v>
      </c>
      <c r="E2732" s="2"/>
      <c r="F2732" t="s">
        <v>12</v>
      </c>
      <c r="G2732" t="s">
        <v>146</v>
      </c>
      <c r="H2732" t="s">
        <v>146</v>
      </c>
      <c r="I2732"/>
    </row>
    <row r="2733" spans="1:9">
      <c r="A2733" t="s">
        <v>2654</v>
      </c>
      <c r="B2733" s="1" t="str">
        <f>"25196197"</f>
        <v>25196197</v>
      </c>
      <c r="C2733" t="s">
        <v>2672</v>
      </c>
      <c r="D2733" t="s">
        <v>2683</v>
      </c>
      <c r="E2733" s="2"/>
      <c r="F2733" t="s">
        <v>12</v>
      </c>
      <c r="G2733" t="s">
        <v>146</v>
      </c>
      <c r="H2733" t="s">
        <v>146</v>
      </c>
      <c r="I2733"/>
    </row>
    <row r="2734" spans="1:9">
      <c r="A2734" t="s">
        <v>2654</v>
      </c>
      <c r="B2734" s="1" t="str">
        <f>"20468794"</f>
        <v>20468794</v>
      </c>
      <c r="C2734" t="s">
        <v>2672</v>
      </c>
      <c r="D2734" t="s">
        <v>2684</v>
      </c>
      <c r="E2734" s="2"/>
      <c r="F2734" t="s">
        <v>12</v>
      </c>
      <c r="G2734" t="s">
        <v>146</v>
      </c>
      <c r="H2734" t="s">
        <v>146</v>
      </c>
      <c r="I2734"/>
    </row>
    <row r="2735" spans="1:9">
      <c r="A2735" t="s">
        <v>2654</v>
      </c>
      <c r="B2735" s="1" t="str">
        <f>"22420389"</f>
        <v>22420389</v>
      </c>
      <c r="C2735" t="s">
        <v>2672</v>
      </c>
      <c r="D2735" t="s">
        <v>2685</v>
      </c>
      <c r="E2735" s="2"/>
      <c r="F2735" t="s">
        <v>12</v>
      </c>
      <c r="G2735" t="s">
        <v>146</v>
      </c>
      <c r="H2735" t="s">
        <v>146</v>
      </c>
      <c r="I2735"/>
    </row>
    <row r="2736" spans="1:9">
      <c r="A2736" t="s">
        <v>2654</v>
      </c>
      <c r="B2736" s="1" t="str">
        <f>"20486484"</f>
        <v>20486484</v>
      </c>
      <c r="C2736" t="s">
        <v>2672</v>
      </c>
      <c r="D2736" t="s">
        <v>2686</v>
      </c>
      <c r="E2736" s="2"/>
      <c r="F2736" t="s">
        <v>12</v>
      </c>
      <c r="G2736" t="s">
        <v>146</v>
      </c>
      <c r="H2736" t="s">
        <v>146</v>
      </c>
      <c r="I2736"/>
    </row>
    <row r="2737" spans="1:9">
      <c r="A2737" t="s">
        <v>2654</v>
      </c>
      <c r="B2737" s="1" t="str">
        <f>"20894798"</f>
        <v>20894798</v>
      </c>
      <c r="C2737" t="s">
        <v>2672</v>
      </c>
      <c r="D2737" t="s">
        <v>2687</v>
      </c>
      <c r="E2737" s="2"/>
      <c r="F2737" t="s">
        <v>12</v>
      </c>
      <c r="G2737" t="s">
        <v>146</v>
      </c>
      <c r="H2737" t="s">
        <v>146</v>
      </c>
      <c r="I2737"/>
    </row>
    <row r="2738" spans="1:9">
      <c r="A2738" t="s">
        <v>2654</v>
      </c>
      <c r="B2738" s="1" t="str">
        <f>"22420433"</f>
        <v>22420433</v>
      </c>
      <c r="C2738" t="s">
        <v>2672</v>
      </c>
      <c r="D2738" t="s">
        <v>154</v>
      </c>
      <c r="E2738" s="2"/>
      <c r="F2738" t="s">
        <v>12</v>
      </c>
      <c r="G2738" t="s">
        <v>146</v>
      </c>
      <c r="H2738" t="s">
        <v>146</v>
      </c>
      <c r="I2738"/>
    </row>
    <row r="2739" spans="1:9">
      <c r="A2739" t="s">
        <v>2654</v>
      </c>
      <c r="B2739" s="1" t="str">
        <f>"20150015"</f>
        <v>20150015</v>
      </c>
      <c r="C2739" t="s">
        <v>2672</v>
      </c>
      <c r="D2739" t="s">
        <v>2688</v>
      </c>
      <c r="E2739" s="2"/>
      <c r="F2739" t="s">
        <v>12</v>
      </c>
      <c r="G2739" t="s">
        <v>146</v>
      </c>
      <c r="H2739" t="s">
        <v>146</v>
      </c>
      <c r="I2739"/>
    </row>
    <row r="2740" spans="1:9">
      <c r="A2740" t="s">
        <v>2654</v>
      </c>
      <c r="B2740" s="1" t="str">
        <f>"22542845"</f>
        <v>22542845</v>
      </c>
      <c r="C2740" t="s">
        <v>2672</v>
      </c>
      <c r="D2740" t="s">
        <v>2689</v>
      </c>
      <c r="E2740" s="2"/>
      <c r="F2740" t="s">
        <v>12</v>
      </c>
      <c r="G2740" t="s">
        <v>146</v>
      </c>
      <c r="H2740" t="s">
        <v>146</v>
      </c>
      <c r="I2740"/>
    </row>
    <row r="2741" spans="1:9">
      <c r="A2741" t="s">
        <v>2654</v>
      </c>
      <c r="B2741" s="1" t="str">
        <f>"20224493"</f>
        <v>20224493</v>
      </c>
      <c r="C2741" t="s">
        <v>2672</v>
      </c>
      <c r="D2741" t="s">
        <v>2690</v>
      </c>
      <c r="E2741" s="2"/>
      <c r="F2741" t="s">
        <v>66</v>
      </c>
      <c r="G2741" t="s">
        <v>25</v>
      </c>
      <c r="H2741" t="s">
        <v>25</v>
      </c>
      <c r="I2741"/>
    </row>
    <row r="2742" spans="1:9">
      <c r="A2742" t="s">
        <v>2654</v>
      </c>
      <c r="B2742" s="1" t="str">
        <f>"21654687"</f>
        <v>21654687</v>
      </c>
      <c r="C2742" t="s">
        <v>2691</v>
      </c>
      <c r="D2742" t="s">
        <v>2692</v>
      </c>
      <c r="E2742" s="2"/>
      <c r="F2742" t="s">
        <v>239</v>
      </c>
      <c r="G2742" t="s">
        <v>146</v>
      </c>
      <c r="H2742" t="s">
        <v>146</v>
      </c>
      <c r="I2742"/>
    </row>
    <row r="2743" spans="1:9">
      <c r="A2743" t="s">
        <v>2654</v>
      </c>
      <c r="B2743" s="1" t="str">
        <f>"21646948"</f>
        <v>21646948</v>
      </c>
      <c r="C2743" t="s">
        <v>2691</v>
      </c>
      <c r="D2743" t="s">
        <v>2693</v>
      </c>
      <c r="E2743" s="2"/>
      <c r="F2743" t="s">
        <v>12</v>
      </c>
      <c r="G2743" t="s">
        <v>146</v>
      </c>
      <c r="H2743" t="s">
        <v>146</v>
      </c>
      <c r="I2743"/>
    </row>
    <row r="2744" spans="1:9">
      <c r="A2744" t="s">
        <v>2654</v>
      </c>
      <c r="B2744" s="1" t="str">
        <f>"21684784"</f>
        <v>21684784</v>
      </c>
      <c r="C2744" t="s">
        <v>2691</v>
      </c>
      <c r="D2744" t="s">
        <v>2675</v>
      </c>
      <c r="E2744" s="2"/>
      <c r="F2744" t="s">
        <v>12</v>
      </c>
      <c r="G2744" t="s">
        <v>146</v>
      </c>
      <c r="H2744" t="s">
        <v>146</v>
      </c>
      <c r="I2744"/>
    </row>
    <row r="2745" spans="1:9">
      <c r="A2745" t="s">
        <v>2654</v>
      </c>
      <c r="B2745" s="1" t="str">
        <f>"21648484"</f>
        <v>21648484</v>
      </c>
      <c r="C2745" t="s">
        <v>2691</v>
      </c>
      <c r="D2745" t="s">
        <v>2694</v>
      </c>
      <c r="E2745" s="2"/>
      <c r="F2745" t="s">
        <v>12</v>
      </c>
      <c r="G2745" t="s">
        <v>146</v>
      </c>
      <c r="H2745" t="s">
        <v>146</v>
      </c>
      <c r="I2745"/>
    </row>
    <row r="2746" spans="1:9">
      <c r="A2746" t="s">
        <v>2654</v>
      </c>
      <c r="B2746" s="1" t="str">
        <f>"21484846"</f>
        <v>21484846</v>
      </c>
      <c r="C2746" t="s">
        <v>2691</v>
      </c>
      <c r="D2746" t="s">
        <v>154</v>
      </c>
      <c r="E2746" s="2"/>
      <c r="F2746" t="s">
        <v>12</v>
      </c>
      <c r="G2746" t="s">
        <v>146</v>
      </c>
      <c r="H2746" t="s">
        <v>146</v>
      </c>
      <c r="I2746"/>
    </row>
    <row r="2747" spans="1:9">
      <c r="A2747" t="s">
        <v>2654</v>
      </c>
      <c r="B2747" s="1" t="str">
        <f>"20171205"</f>
        <v>20171205</v>
      </c>
      <c r="C2747" t="s">
        <v>2691</v>
      </c>
      <c r="D2747" t="s">
        <v>2695</v>
      </c>
      <c r="E2747" s="2"/>
      <c r="F2747" t="s">
        <v>12</v>
      </c>
      <c r="G2747" t="s">
        <v>146</v>
      </c>
      <c r="H2747" t="s">
        <v>146</v>
      </c>
      <c r="I2747"/>
    </row>
    <row r="2748" spans="1:9">
      <c r="A2748" t="s">
        <v>2654</v>
      </c>
      <c r="B2748" s="1" t="str">
        <f>"21654985"</f>
        <v>21654985</v>
      </c>
      <c r="C2748" t="s">
        <v>2691</v>
      </c>
      <c r="D2748" t="s">
        <v>2696</v>
      </c>
      <c r="E2748" s="2"/>
      <c r="F2748" t="s">
        <v>12</v>
      </c>
      <c r="G2748" t="s">
        <v>146</v>
      </c>
      <c r="H2748" t="s">
        <v>146</v>
      </c>
      <c r="I2748"/>
    </row>
    <row r="2749" spans="1:9">
      <c r="A2749" t="s">
        <v>2654</v>
      </c>
      <c r="B2749" s="1" t="str">
        <f>"20192976"</f>
        <v>20192976</v>
      </c>
      <c r="C2749" t="s">
        <v>2697</v>
      </c>
      <c r="D2749" t="s">
        <v>2698</v>
      </c>
      <c r="E2749" s="2"/>
      <c r="F2749"/>
      <c r="G2749" t="s">
        <v>287</v>
      </c>
      <c r="H2749" t="s">
        <v>287</v>
      </c>
      <c r="I2749"/>
    </row>
    <row r="2750" spans="1:9">
      <c r="A2750" t="s">
        <v>2654</v>
      </c>
      <c r="B2750" s="1" t="str">
        <f>"20022495"</f>
        <v>20022495</v>
      </c>
      <c r="C2750" t="s">
        <v>2697</v>
      </c>
      <c r="D2750" t="s">
        <v>2699</v>
      </c>
      <c r="E2750" s="2"/>
      <c r="F2750"/>
      <c r="G2750" t="s">
        <v>287</v>
      </c>
      <c r="H2750" t="s">
        <v>287</v>
      </c>
      <c r="I2750"/>
    </row>
    <row r="2751" spans="1:9">
      <c r="A2751" t="s">
        <v>2654</v>
      </c>
      <c r="B2751" s="1" t="str">
        <f>"20171206"</f>
        <v>20171206</v>
      </c>
      <c r="C2751" t="s">
        <v>2697</v>
      </c>
      <c r="D2751" t="s">
        <v>2700</v>
      </c>
      <c r="E2751" s="2"/>
      <c r="F2751"/>
      <c r="G2751" t="s">
        <v>287</v>
      </c>
      <c r="H2751" t="s">
        <v>287</v>
      </c>
      <c r="I2751"/>
    </row>
    <row r="2752" spans="1:9">
      <c r="A2752" t="s">
        <v>2654</v>
      </c>
      <c r="B2752" s="1" t="str">
        <f>"20192990"</f>
        <v>20192990</v>
      </c>
      <c r="C2752" t="s">
        <v>2697</v>
      </c>
      <c r="D2752" t="s">
        <v>2701</v>
      </c>
      <c r="E2752" s="2"/>
      <c r="F2752"/>
      <c r="G2752" t="s">
        <v>287</v>
      </c>
      <c r="H2752" t="s">
        <v>287</v>
      </c>
      <c r="I2752"/>
    </row>
    <row r="2753" spans="1:9">
      <c r="A2753" t="s">
        <v>2654</v>
      </c>
      <c r="B2753" s="1" t="str">
        <f>"20022716"</f>
        <v>20022716</v>
      </c>
      <c r="C2753" t="s">
        <v>2697</v>
      </c>
      <c r="D2753" t="s">
        <v>2702</v>
      </c>
      <c r="E2753" s="2"/>
      <c r="F2753"/>
      <c r="G2753" t="s">
        <v>287</v>
      </c>
      <c r="H2753" t="s">
        <v>287</v>
      </c>
      <c r="I2753"/>
    </row>
    <row r="2754" spans="1:9">
      <c r="A2754" t="s">
        <v>2654</v>
      </c>
      <c r="B2754" s="1" t="str">
        <f>"20022235"</f>
        <v>20022235</v>
      </c>
      <c r="C2754" t="s">
        <v>2697</v>
      </c>
      <c r="D2754" t="s">
        <v>2703</v>
      </c>
      <c r="E2754" s="2"/>
      <c r="F2754"/>
      <c r="G2754" t="s">
        <v>287</v>
      </c>
      <c r="H2754" t="s">
        <v>287</v>
      </c>
      <c r="I2754"/>
    </row>
    <row r="2755" spans="1:9">
      <c r="A2755" t="s">
        <v>2654</v>
      </c>
      <c r="B2755" s="1" t="str">
        <f>"20190076"</f>
        <v>20190076</v>
      </c>
      <c r="C2755" t="s">
        <v>2704</v>
      </c>
      <c r="D2755" t="s">
        <v>2705</v>
      </c>
      <c r="E2755" s="2"/>
      <c r="F2755" t="s">
        <v>12</v>
      </c>
      <c r="G2755" t="s">
        <v>25</v>
      </c>
      <c r="H2755" t="s">
        <v>25</v>
      </c>
      <c r="I2755"/>
    </row>
    <row r="2756" spans="1:9">
      <c r="A2756" t="s">
        <v>2654</v>
      </c>
      <c r="B2756" s="1" t="str">
        <f>"20171211"</f>
        <v>20171211</v>
      </c>
      <c r="C2756" t="s">
        <v>209</v>
      </c>
      <c r="D2756" t="s">
        <v>2706</v>
      </c>
      <c r="E2756" s="2"/>
      <c r="F2756" t="s">
        <v>12</v>
      </c>
      <c r="G2756" t="s">
        <v>44</v>
      </c>
      <c r="H2756" t="s">
        <v>44</v>
      </c>
      <c r="I2756"/>
    </row>
    <row r="2757" spans="1:9">
      <c r="A2757" t="s">
        <v>2654</v>
      </c>
      <c r="B2757" s="1" t="str">
        <f>"20171213"</f>
        <v>20171213</v>
      </c>
      <c r="C2757" t="s">
        <v>209</v>
      </c>
      <c r="D2757" t="s">
        <v>2707</v>
      </c>
      <c r="E2757" s="2"/>
      <c r="F2757" t="s">
        <v>12</v>
      </c>
      <c r="G2757" t="s">
        <v>44</v>
      </c>
      <c r="H2757" t="s">
        <v>44</v>
      </c>
      <c r="I2757"/>
    </row>
    <row r="2758" spans="1:9">
      <c r="A2758" t="s">
        <v>2654</v>
      </c>
      <c r="B2758" s="1" t="str">
        <f>"20171207"</f>
        <v>20171207</v>
      </c>
      <c r="C2758" t="s">
        <v>209</v>
      </c>
      <c r="D2758" t="s">
        <v>2708</v>
      </c>
      <c r="E2758" s="2"/>
      <c r="F2758" t="s">
        <v>12</v>
      </c>
      <c r="G2758" t="s">
        <v>44</v>
      </c>
      <c r="H2758" t="s">
        <v>44</v>
      </c>
      <c r="I2758"/>
    </row>
    <row r="2759" spans="1:9">
      <c r="A2759" t="s">
        <v>2654</v>
      </c>
      <c r="B2759" s="1" t="str">
        <f>"20309826"</f>
        <v>20309826</v>
      </c>
      <c r="C2759" t="s">
        <v>209</v>
      </c>
      <c r="D2759" t="s">
        <v>2709</v>
      </c>
      <c r="E2759" s="2"/>
      <c r="F2759" t="s">
        <v>12</v>
      </c>
      <c r="G2759" t="s">
        <v>44</v>
      </c>
      <c r="H2759" t="s">
        <v>44</v>
      </c>
      <c r="I2759"/>
    </row>
    <row r="2760" spans="1:9">
      <c r="A2760" t="s">
        <v>2654</v>
      </c>
      <c r="B2760" s="1" t="str">
        <f>"20171209"</f>
        <v>20171209</v>
      </c>
      <c r="C2760" t="s">
        <v>209</v>
      </c>
      <c r="D2760" t="s">
        <v>2710</v>
      </c>
      <c r="E2760" s="2"/>
      <c r="F2760" t="s">
        <v>12</v>
      </c>
      <c r="G2760" t="s">
        <v>44</v>
      </c>
      <c r="H2760" t="s">
        <v>44</v>
      </c>
      <c r="I2760"/>
    </row>
    <row r="2761" spans="1:9">
      <c r="A2761" t="s">
        <v>2654</v>
      </c>
      <c r="B2761" s="1" t="str">
        <f>"20171210"</f>
        <v>20171210</v>
      </c>
      <c r="C2761" t="s">
        <v>209</v>
      </c>
      <c r="D2761" t="s">
        <v>2711</v>
      </c>
      <c r="E2761" s="2"/>
      <c r="F2761" t="s">
        <v>12</v>
      </c>
      <c r="G2761" t="s">
        <v>44</v>
      </c>
      <c r="H2761" t="s">
        <v>44</v>
      </c>
      <c r="I2761"/>
    </row>
    <row r="2762" spans="1:9">
      <c r="A2762" t="s">
        <v>2654</v>
      </c>
      <c r="B2762" s="1" t="str">
        <f>"20026950"</f>
        <v>20026950</v>
      </c>
      <c r="C2762" t="s">
        <v>209</v>
      </c>
      <c r="D2762" t="s">
        <v>2712</v>
      </c>
      <c r="E2762" s="2"/>
      <c r="F2762" t="s">
        <v>336</v>
      </c>
      <c r="G2762" t="s">
        <v>25</v>
      </c>
      <c r="H2762" t="s">
        <v>25</v>
      </c>
      <c r="I2762"/>
    </row>
    <row r="2763" spans="1:9">
      <c r="A2763" t="s">
        <v>2654</v>
      </c>
      <c r="B2763" s="1" t="str">
        <f>"20295821"</f>
        <v>20295821</v>
      </c>
      <c r="C2763" t="s">
        <v>989</v>
      </c>
      <c r="D2763" t="s">
        <v>2713</v>
      </c>
      <c r="E2763" s="2"/>
      <c r="F2763" t="s">
        <v>12</v>
      </c>
      <c r="G2763" t="s">
        <v>44</v>
      </c>
      <c r="H2763" t="s">
        <v>44</v>
      </c>
      <c r="I2763"/>
    </row>
    <row r="2764" spans="1:9">
      <c r="A2764" t="s">
        <v>2654</v>
      </c>
      <c r="B2764" s="1" t="str">
        <f>"20295806"</f>
        <v>20295806</v>
      </c>
      <c r="C2764"/>
      <c r="D2764" t="s">
        <v>2714</v>
      </c>
      <c r="E2764" s="2"/>
      <c r="F2764" t="s">
        <v>66</v>
      </c>
      <c r="G2764" t="s">
        <v>29</v>
      </c>
      <c r="H2764" t="s">
        <v>29</v>
      </c>
      <c r="I2764"/>
    </row>
    <row r="2765" spans="1:9">
      <c r="A2765" t="s">
        <v>2654</v>
      </c>
      <c r="B2765" s="1" t="str">
        <f>"20076931"</f>
        <v>20076931</v>
      </c>
      <c r="C2765" t="s">
        <v>225</v>
      </c>
      <c r="D2765" t="s">
        <v>2715</v>
      </c>
      <c r="E2765" s="2"/>
      <c r="F2765" t="s">
        <v>12</v>
      </c>
      <c r="G2765" t="s">
        <v>44</v>
      </c>
      <c r="H2765" t="s">
        <v>44</v>
      </c>
      <c r="I2765"/>
    </row>
    <row r="2766" spans="1:9">
      <c r="A2766" t="s">
        <v>2654</v>
      </c>
      <c r="B2766" s="1" t="str">
        <f>"20103873"</f>
        <v>20103873</v>
      </c>
      <c r="C2766" t="s">
        <v>225</v>
      </c>
      <c r="D2766" t="s">
        <v>2716</v>
      </c>
      <c r="E2766" s="2"/>
      <c r="F2766"/>
      <c r="G2766" t="s">
        <v>19</v>
      </c>
      <c r="H2766" t="s">
        <v>287</v>
      </c>
      <c r="I2766"/>
    </row>
    <row r="2767" spans="1:9">
      <c r="A2767" t="s">
        <v>2654</v>
      </c>
      <c r="B2767" s="1" t="str">
        <f>"20299439"</f>
        <v>20299439</v>
      </c>
      <c r="C2767" t="s">
        <v>225</v>
      </c>
      <c r="D2767" t="s">
        <v>2717</v>
      </c>
      <c r="E2767" s="2"/>
      <c r="F2767" t="s">
        <v>12</v>
      </c>
      <c r="G2767" t="s">
        <v>44</v>
      </c>
      <c r="H2767" t="s">
        <v>44</v>
      </c>
      <c r="I2767"/>
    </row>
    <row r="2768" spans="1:9">
      <c r="A2768" t="s">
        <v>2654</v>
      </c>
      <c r="B2768" s="1" t="str">
        <f>"20249779"</f>
        <v>20249779</v>
      </c>
      <c r="C2768" t="s">
        <v>2718</v>
      </c>
      <c r="D2768" t="s">
        <v>2719</v>
      </c>
      <c r="E2768" s="2"/>
      <c r="F2768" t="s">
        <v>331</v>
      </c>
      <c r="G2768" t="s">
        <v>19</v>
      </c>
      <c r="H2768" t="s">
        <v>19</v>
      </c>
      <c r="I2768"/>
    </row>
    <row r="2769" spans="1:9">
      <c r="A2769" t="s">
        <v>2654</v>
      </c>
      <c r="B2769" s="1" t="str">
        <f>"20145064"</f>
        <v>20145064</v>
      </c>
      <c r="C2769" t="s">
        <v>2718</v>
      </c>
      <c r="D2769" t="s">
        <v>2720</v>
      </c>
      <c r="E2769" s="2"/>
      <c r="F2769" t="s">
        <v>331</v>
      </c>
      <c r="G2769" t="s">
        <v>19</v>
      </c>
      <c r="H2769" t="s">
        <v>19</v>
      </c>
      <c r="I2769"/>
    </row>
    <row r="2770" spans="1:9">
      <c r="A2770" t="s">
        <v>2654</v>
      </c>
      <c r="B2770" s="1" t="str">
        <f>"20172566"</f>
        <v>20172566</v>
      </c>
      <c r="C2770" t="s">
        <v>2718</v>
      </c>
      <c r="D2770" t="s">
        <v>2721</v>
      </c>
      <c r="E2770" s="2"/>
      <c r="F2770" t="s">
        <v>12</v>
      </c>
      <c r="G2770" t="s">
        <v>44</v>
      </c>
      <c r="H2770" t="s">
        <v>44</v>
      </c>
      <c r="I2770"/>
    </row>
    <row r="2771" spans="1:9">
      <c r="A2771" t="s">
        <v>2654</v>
      </c>
      <c r="B2771" s="1" t="str">
        <f>"20172567"</f>
        <v>20172567</v>
      </c>
      <c r="C2771" t="s">
        <v>2718</v>
      </c>
      <c r="D2771" t="s">
        <v>2722</v>
      </c>
      <c r="E2771" s="2"/>
      <c r="F2771" t="s">
        <v>12</v>
      </c>
      <c r="G2771" t="s">
        <v>44</v>
      </c>
      <c r="H2771" t="s">
        <v>44</v>
      </c>
      <c r="I2771"/>
    </row>
    <row r="2772" spans="1:9">
      <c r="A2772" t="s">
        <v>2654</v>
      </c>
      <c r="B2772" s="1" t="str">
        <f>"20172568"</f>
        <v>20172568</v>
      </c>
      <c r="C2772" t="s">
        <v>2718</v>
      </c>
      <c r="D2772" t="s">
        <v>2723</v>
      </c>
      <c r="E2772" s="2"/>
      <c r="F2772" t="s">
        <v>12</v>
      </c>
      <c r="G2772" t="s">
        <v>44</v>
      </c>
      <c r="H2772" t="s">
        <v>44</v>
      </c>
      <c r="I2772"/>
    </row>
    <row r="2773" spans="1:9">
      <c r="A2773" t="s">
        <v>2654</v>
      </c>
      <c r="B2773" s="1" t="str">
        <f>"20171219"</f>
        <v>20171219</v>
      </c>
      <c r="C2773" t="s">
        <v>2724</v>
      </c>
      <c r="D2773" t="s">
        <v>2725</v>
      </c>
      <c r="E2773" s="2"/>
      <c r="F2773" t="s">
        <v>12</v>
      </c>
      <c r="G2773" t="s">
        <v>146</v>
      </c>
      <c r="H2773" t="s">
        <v>146</v>
      </c>
      <c r="I2773"/>
    </row>
    <row r="2774" spans="1:9">
      <c r="A2774" t="s">
        <v>2654</v>
      </c>
      <c r="B2774" s="1" t="str">
        <f>"20171220"</f>
        <v>20171220</v>
      </c>
      <c r="C2774" t="s">
        <v>2724</v>
      </c>
      <c r="D2774" t="s">
        <v>2726</v>
      </c>
      <c r="E2774" s="2"/>
      <c r="F2774" t="s">
        <v>12</v>
      </c>
      <c r="G2774" t="s">
        <v>146</v>
      </c>
      <c r="H2774" t="s">
        <v>146</v>
      </c>
      <c r="I2774"/>
    </row>
    <row r="2775" spans="1:9">
      <c r="A2775" t="s">
        <v>2654</v>
      </c>
      <c r="B2775" s="1" t="str">
        <f>"22484646"</f>
        <v>22484646</v>
      </c>
      <c r="C2775" t="s">
        <v>2724</v>
      </c>
      <c r="D2775" t="s">
        <v>2727</v>
      </c>
      <c r="E2775" s="2"/>
      <c r="F2775" t="s">
        <v>12</v>
      </c>
      <c r="G2775" t="s">
        <v>146</v>
      </c>
      <c r="H2775" t="s">
        <v>146</v>
      </c>
      <c r="I2775"/>
    </row>
    <row r="2776" spans="1:9">
      <c r="A2776" t="s">
        <v>2654</v>
      </c>
      <c r="B2776" s="1" t="str">
        <f>"22164984"</f>
        <v>22164984</v>
      </c>
      <c r="C2776" t="s">
        <v>2724</v>
      </c>
      <c r="D2776" t="s">
        <v>2728</v>
      </c>
      <c r="E2776" s="2"/>
      <c r="F2776" t="s">
        <v>12</v>
      </c>
      <c r="G2776" t="s">
        <v>146</v>
      </c>
      <c r="H2776" t="s">
        <v>146</v>
      </c>
      <c r="I2776"/>
    </row>
    <row r="2777" spans="1:9">
      <c r="A2777" t="s">
        <v>2654</v>
      </c>
      <c r="B2777" s="1" t="str">
        <f>"22484694"</f>
        <v>22484694</v>
      </c>
      <c r="C2777" t="s">
        <v>2724</v>
      </c>
      <c r="D2777" t="s">
        <v>2729</v>
      </c>
      <c r="E2777" s="2"/>
      <c r="F2777" t="s">
        <v>12</v>
      </c>
      <c r="G2777" t="s">
        <v>146</v>
      </c>
      <c r="H2777" t="s">
        <v>146</v>
      </c>
      <c r="I2777"/>
    </row>
    <row r="2778" spans="1:9">
      <c r="A2778" t="s">
        <v>2654</v>
      </c>
      <c r="B2778" s="1" t="str">
        <f>"22484664"</f>
        <v>22484664</v>
      </c>
      <c r="C2778" t="s">
        <v>2724</v>
      </c>
      <c r="D2778" t="s">
        <v>2730</v>
      </c>
      <c r="E2778" s="2"/>
      <c r="F2778" t="s">
        <v>12</v>
      </c>
      <c r="G2778" t="s">
        <v>146</v>
      </c>
      <c r="H2778" t="s">
        <v>146</v>
      </c>
      <c r="I2778"/>
    </row>
    <row r="2779" spans="1:9">
      <c r="A2779" t="s">
        <v>2654</v>
      </c>
      <c r="B2779" s="1" t="str">
        <f>"20292706"</f>
        <v>20292706</v>
      </c>
      <c r="C2779" t="s">
        <v>2724</v>
      </c>
      <c r="D2779" t="s">
        <v>2731</v>
      </c>
      <c r="E2779" s="2"/>
      <c r="F2779" t="s">
        <v>12</v>
      </c>
      <c r="G2779" t="s">
        <v>146</v>
      </c>
      <c r="H2779" t="s">
        <v>146</v>
      </c>
      <c r="I2779"/>
    </row>
    <row r="2780" spans="1:9">
      <c r="A2780" t="s">
        <v>2654</v>
      </c>
      <c r="B2780" s="1" t="str">
        <f>"20171222"</f>
        <v>20171222</v>
      </c>
      <c r="C2780" t="s">
        <v>2724</v>
      </c>
      <c r="D2780" t="s">
        <v>2732</v>
      </c>
      <c r="E2780" s="2"/>
      <c r="F2780" t="s">
        <v>12</v>
      </c>
      <c r="G2780" t="s">
        <v>146</v>
      </c>
      <c r="H2780" t="s">
        <v>146</v>
      </c>
      <c r="I2780"/>
    </row>
    <row r="2781" spans="1:9">
      <c r="A2781" t="s">
        <v>2654</v>
      </c>
      <c r="B2781" s="1" t="str">
        <f>"22655654"</f>
        <v>22655654</v>
      </c>
      <c r="C2781" t="s">
        <v>2724</v>
      </c>
      <c r="D2781" t="s">
        <v>2733</v>
      </c>
      <c r="E2781" s="2"/>
      <c r="F2781" t="s">
        <v>12</v>
      </c>
      <c r="G2781" t="s">
        <v>146</v>
      </c>
      <c r="H2781" t="s">
        <v>146</v>
      </c>
      <c r="I2781"/>
    </row>
    <row r="2782" spans="1:9">
      <c r="A2782" t="s">
        <v>2654</v>
      </c>
      <c r="B2782" s="1" t="str">
        <f>"22464846"</f>
        <v>22464846</v>
      </c>
      <c r="C2782" t="s">
        <v>2724</v>
      </c>
      <c r="D2782" t="s">
        <v>2734</v>
      </c>
      <c r="E2782" s="2"/>
      <c r="F2782" t="s">
        <v>12</v>
      </c>
      <c r="G2782" t="s">
        <v>146</v>
      </c>
      <c r="H2782" t="s">
        <v>146</v>
      </c>
      <c r="I2782"/>
    </row>
    <row r="2783" spans="1:9">
      <c r="A2783" t="s">
        <v>2654</v>
      </c>
      <c r="B2783" s="1" t="str">
        <f>"20171232"</f>
        <v>20171232</v>
      </c>
      <c r="C2783" t="s">
        <v>2735</v>
      </c>
      <c r="D2783" t="s">
        <v>2736</v>
      </c>
      <c r="E2783" s="2"/>
      <c r="F2783" t="s">
        <v>2737</v>
      </c>
      <c r="G2783" t="s">
        <v>25</v>
      </c>
      <c r="H2783" t="s">
        <v>25</v>
      </c>
      <c r="I2783"/>
    </row>
    <row r="2784" spans="1:9">
      <c r="A2784" t="s">
        <v>2654</v>
      </c>
      <c r="B2784" s="1" t="str">
        <f>"20171233"</f>
        <v>20171233</v>
      </c>
      <c r="C2784" t="s">
        <v>2735</v>
      </c>
      <c r="D2784" t="s">
        <v>2738</v>
      </c>
      <c r="E2784" s="2"/>
      <c r="F2784" t="s">
        <v>2737</v>
      </c>
      <c r="G2784" t="s">
        <v>25</v>
      </c>
      <c r="H2784" t="s">
        <v>25</v>
      </c>
      <c r="I2784"/>
    </row>
    <row r="2785" spans="1:9">
      <c r="A2785" t="s">
        <v>2654</v>
      </c>
      <c r="B2785" s="1" t="str">
        <f>"20171235"</f>
        <v>20171235</v>
      </c>
      <c r="C2785" t="s">
        <v>2735</v>
      </c>
      <c r="D2785" t="s">
        <v>2739</v>
      </c>
      <c r="E2785" s="2"/>
      <c r="F2785" t="s">
        <v>2737</v>
      </c>
      <c r="G2785" t="s">
        <v>25</v>
      </c>
      <c r="H2785" t="s">
        <v>25</v>
      </c>
      <c r="I2785"/>
    </row>
    <row r="2786" spans="1:9">
      <c r="A2786" t="s">
        <v>2654</v>
      </c>
      <c r="B2786" s="1" t="str">
        <f>"20956602"</f>
        <v>20956602</v>
      </c>
      <c r="C2786" t="s">
        <v>2740</v>
      </c>
      <c r="D2786" t="s">
        <v>2741</v>
      </c>
      <c r="E2786" s="2"/>
      <c r="F2786" t="s">
        <v>206</v>
      </c>
      <c r="G2786" t="s">
        <v>1463</v>
      </c>
      <c r="H2786" t="s">
        <v>1463</v>
      </c>
      <c r="I2786"/>
    </row>
    <row r="2787" spans="1:9">
      <c r="A2787" t="s">
        <v>2654</v>
      </c>
      <c r="B2787" s="1" t="str">
        <f>"20956602.2"</f>
        <v>20956602.2</v>
      </c>
      <c r="C2787" t="s">
        <v>2740</v>
      </c>
      <c r="D2787" t="s">
        <v>2741</v>
      </c>
      <c r="E2787" s="2"/>
      <c r="F2787" t="s">
        <v>206</v>
      </c>
      <c r="G2787" t="s">
        <v>1463</v>
      </c>
      <c r="H2787" t="s">
        <v>332</v>
      </c>
      <c r="I2787"/>
    </row>
    <row r="2788" spans="1:9">
      <c r="A2788" t="s">
        <v>2654</v>
      </c>
      <c r="B2788" s="1" t="str">
        <f>"20171216"</f>
        <v>20171216</v>
      </c>
      <c r="C2788" t="s">
        <v>2742</v>
      </c>
      <c r="D2788" t="s">
        <v>2743</v>
      </c>
      <c r="E2788" s="2"/>
      <c r="F2788" t="s">
        <v>12</v>
      </c>
      <c r="G2788" t="s">
        <v>44</v>
      </c>
      <c r="H2788" t="s">
        <v>44</v>
      </c>
      <c r="I2788"/>
    </row>
    <row r="2789" spans="1:9">
      <c r="A2789" t="s">
        <v>2654</v>
      </c>
      <c r="B2789" s="1" t="str">
        <f>"20096779"</f>
        <v>20096779</v>
      </c>
      <c r="C2789" t="s">
        <v>2742</v>
      </c>
      <c r="D2789" t="s">
        <v>2744</v>
      </c>
      <c r="E2789" s="2"/>
      <c r="F2789" t="s">
        <v>12</v>
      </c>
      <c r="G2789" t="s">
        <v>44</v>
      </c>
      <c r="H2789" t="s">
        <v>44</v>
      </c>
      <c r="I2789"/>
    </row>
    <row r="2790" spans="1:9">
      <c r="A2790" t="s">
        <v>2654</v>
      </c>
      <c r="B2790" s="1" t="str">
        <f>"22810331"</f>
        <v>22810331</v>
      </c>
      <c r="C2790" t="s">
        <v>2668</v>
      </c>
      <c r="D2790" t="s">
        <v>2669</v>
      </c>
      <c r="E2790" s="2"/>
      <c r="F2790" t="s">
        <v>239</v>
      </c>
      <c r="G2790" t="s">
        <v>25</v>
      </c>
      <c r="H2790" t="s">
        <v>25</v>
      </c>
      <c r="I2790"/>
    </row>
    <row r="2791" spans="1:9">
      <c r="A2791" t="s">
        <v>2654</v>
      </c>
      <c r="B2791" s="1" t="str">
        <f>"22810332"</f>
        <v>22810332</v>
      </c>
      <c r="C2791" t="s">
        <v>2668</v>
      </c>
      <c r="D2791" t="s">
        <v>2670</v>
      </c>
      <c r="E2791" s="2"/>
      <c r="F2791" t="s">
        <v>239</v>
      </c>
      <c r="G2791" t="s">
        <v>25</v>
      </c>
      <c r="H2791" t="s">
        <v>25</v>
      </c>
      <c r="I2791"/>
    </row>
    <row r="2792" spans="1:9">
      <c r="A2792" t="s">
        <v>2745</v>
      </c>
      <c r="B2792" s="1" t="str">
        <f>"11012052"</f>
        <v>11012052</v>
      </c>
      <c r="C2792" t="s">
        <v>260</v>
      </c>
      <c r="D2792" t="s">
        <v>2746</v>
      </c>
      <c r="E2792" s="2"/>
      <c r="F2792" t="s">
        <v>239</v>
      </c>
      <c r="G2792" t="s">
        <v>25</v>
      </c>
      <c r="H2792" t="s">
        <v>332</v>
      </c>
      <c r="I2792"/>
    </row>
    <row r="2793" spans="1:9">
      <c r="A2793" t="s">
        <v>2745</v>
      </c>
      <c r="B2793" s="1" t="str">
        <f>"20299031"</f>
        <v>20299031</v>
      </c>
      <c r="C2793"/>
      <c r="D2793" t="s">
        <v>2747</v>
      </c>
      <c r="E2793" s="2"/>
      <c r="F2793" t="s">
        <v>66</v>
      </c>
      <c r="G2793" t="s">
        <v>337</v>
      </c>
      <c r="H2793" t="s">
        <v>25</v>
      </c>
      <c r="I2793"/>
    </row>
    <row r="2794" spans="1:9">
      <c r="A2794" t="s">
        <v>2745</v>
      </c>
      <c r="B2794" s="1" t="str">
        <f>"20036898"</f>
        <v>20036898</v>
      </c>
      <c r="C2794"/>
      <c r="D2794" t="s">
        <v>2748</v>
      </c>
      <c r="E2794" s="2"/>
      <c r="F2794" t="s">
        <v>66</v>
      </c>
      <c r="G2794" t="s">
        <v>337</v>
      </c>
      <c r="H2794" t="s">
        <v>25</v>
      </c>
      <c r="I2794"/>
    </row>
    <row r="2795" spans="1:9">
      <c r="A2795" t="s">
        <v>2745</v>
      </c>
      <c r="B2795" s="1" t="str">
        <f>"12007342"</f>
        <v>12007342</v>
      </c>
      <c r="C2795" t="s">
        <v>2749</v>
      </c>
      <c r="D2795" t="s">
        <v>2750</v>
      </c>
      <c r="E2795" s="2"/>
      <c r="F2795" t="s">
        <v>12</v>
      </c>
      <c r="G2795" t="s">
        <v>25</v>
      </c>
      <c r="H2795" t="s">
        <v>332</v>
      </c>
      <c r="I2795"/>
    </row>
    <row r="2796" spans="1:9">
      <c r="A2796" t="s">
        <v>2745</v>
      </c>
      <c r="B2796" s="1" t="str">
        <f>"12007315"</f>
        <v>12007315</v>
      </c>
      <c r="C2796" t="s">
        <v>2749</v>
      </c>
      <c r="D2796" t="s">
        <v>2751</v>
      </c>
      <c r="E2796" s="2"/>
      <c r="F2796" t="s">
        <v>12</v>
      </c>
      <c r="G2796" t="s">
        <v>25</v>
      </c>
      <c r="H2796" t="s">
        <v>332</v>
      </c>
      <c r="I2796"/>
    </row>
    <row r="2797" spans="1:9">
      <c r="A2797" t="s">
        <v>2745</v>
      </c>
      <c r="B2797" s="1" t="str">
        <f>"12007323"</f>
        <v>12007323</v>
      </c>
      <c r="C2797" t="s">
        <v>2749</v>
      </c>
      <c r="D2797" t="s">
        <v>2752</v>
      </c>
      <c r="E2797" s="2"/>
      <c r="F2797" t="s">
        <v>12</v>
      </c>
      <c r="G2797" t="s">
        <v>25</v>
      </c>
      <c r="H2797" t="s">
        <v>332</v>
      </c>
      <c r="I2797"/>
    </row>
    <row r="2798" spans="1:9">
      <c r="A2798" t="s">
        <v>2745</v>
      </c>
      <c r="B2798" s="1" t="str">
        <f>"12007325"</f>
        <v>12007325</v>
      </c>
      <c r="C2798" t="s">
        <v>2749</v>
      </c>
      <c r="D2798" t="s">
        <v>2753</v>
      </c>
      <c r="E2798" s="2"/>
      <c r="F2798" t="s">
        <v>12</v>
      </c>
      <c r="G2798" t="s">
        <v>25</v>
      </c>
      <c r="H2798" t="s">
        <v>332</v>
      </c>
      <c r="I2798"/>
    </row>
    <row r="2799" spans="1:9">
      <c r="A2799" t="s">
        <v>2745</v>
      </c>
      <c r="B2799" s="1" t="str">
        <f>"12007327"</f>
        <v>12007327</v>
      </c>
      <c r="C2799" t="s">
        <v>2749</v>
      </c>
      <c r="D2799" t="s">
        <v>2754</v>
      </c>
      <c r="E2799" s="2"/>
      <c r="F2799" t="s">
        <v>12</v>
      </c>
      <c r="G2799" t="s">
        <v>25</v>
      </c>
      <c r="H2799" t="s">
        <v>332</v>
      </c>
      <c r="I2799"/>
    </row>
    <row r="2800" spans="1:9">
      <c r="A2800" t="s">
        <v>2745</v>
      </c>
      <c r="B2800" s="1" t="str">
        <f>"12007341"</f>
        <v>12007341</v>
      </c>
      <c r="C2800" t="s">
        <v>2749</v>
      </c>
      <c r="D2800" t="s">
        <v>2755</v>
      </c>
      <c r="E2800" s="2"/>
      <c r="F2800" t="s">
        <v>1477</v>
      </c>
      <c r="G2800" t="s">
        <v>25</v>
      </c>
      <c r="H2800" t="s">
        <v>25</v>
      </c>
      <c r="I2800"/>
    </row>
    <row r="2801" spans="1:9">
      <c r="A2801" t="s">
        <v>2745</v>
      </c>
      <c r="B2801" s="1" t="str">
        <f>"12007344"</f>
        <v>12007344</v>
      </c>
      <c r="C2801" t="s">
        <v>2749</v>
      </c>
      <c r="D2801" t="s">
        <v>2756</v>
      </c>
      <c r="E2801" s="2"/>
      <c r="F2801" t="s">
        <v>12</v>
      </c>
      <c r="G2801" t="s">
        <v>25</v>
      </c>
      <c r="H2801" t="s">
        <v>332</v>
      </c>
      <c r="I2801"/>
    </row>
    <row r="2802" spans="1:9">
      <c r="A2802" t="s">
        <v>2745</v>
      </c>
      <c r="B2802" s="1" t="str">
        <f>"12007328"</f>
        <v>12007328</v>
      </c>
      <c r="C2802" t="s">
        <v>2749</v>
      </c>
      <c r="D2802" t="s">
        <v>2757</v>
      </c>
      <c r="E2802" s="2"/>
      <c r="F2802" t="s">
        <v>12</v>
      </c>
      <c r="G2802" t="s">
        <v>25</v>
      </c>
      <c r="H2802" t="s">
        <v>332</v>
      </c>
      <c r="I2802"/>
    </row>
    <row r="2803" spans="1:9">
      <c r="A2803" t="s">
        <v>2745</v>
      </c>
      <c r="B2803" s="1" t="str">
        <f>"12007340"</f>
        <v>12007340</v>
      </c>
      <c r="C2803" t="s">
        <v>2749</v>
      </c>
      <c r="D2803" t="s">
        <v>2758</v>
      </c>
      <c r="E2803" s="2"/>
      <c r="F2803" t="s">
        <v>1477</v>
      </c>
      <c r="G2803" t="s">
        <v>25</v>
      </c>
      <c r="H2803" t="s">
        <v>25</v>
      </c>
      <c r="I2803"/>
    </row>
    <row r="2804" spans="1:9">
      <c r="A2804" t="s">
        <v>2745</v>
      </c>
      <c r="B2804" s="1" t="str">
        <f>"12007345"</f>
        <v>12007345</v>
      </c>
      <c r="C2804" t="s">
        <v>2749</v>
      </c>
      <c r="D2804" t="s">
        <v>2759</v>
      </c>
      <c r="E2804" s="2"/>
      <c r="F2804" t="s">
        <v>12</v>
      </c>
      <c r="G2804" t="s">
        <v>25</v>
      </c>
      <c r="H2804" t="s">
        <v>332</v>
      </c>
      <c r="I2804"/>
    </row>
    <row r="2805" spans="1:9">
      <c r="A2805" t="s">
        <v>2745</v>
      </c>
      <c r="B2805" s="1" t="str">
        <f>"12007346"</f>
        <v>12007346</v>
      </c>
      <c r="C2805" t="s">
        <v>2749</v>
      </c>
      <c r="D2805" t="s">
        <v>2760</v>
      </c>
      <c r="E2805" s="2"/>
      <c r="F2805" t="s">
        <v>12</v>
      </c>
      <c r="G2805" t="s">
        <v>25</v>
      </c>
      <c r="H2805" t="s">
        <v>332</v>
      </c>
      <c r="I2805"/>
    </row>
    <row r="2806" spans="1:9">
      <c r="A2806" t="s">
        <v>2745</v>
      </c>
      <c r="B2806" s="1" t="str">
        <f>"12007335"</f>
        <v>12007335</v>
      </c>
      <c r="C2806" t="s">
        <v>2749</v>
      </c>
      <c r="D2806" t="s">
        <v>2761</v>
      </c>
      <c r="E2806" s="2"/>
      <c r="F2806" t="s">
        <v>12</v>
      </c>
      <c r="G2806" t="s">
        <v>25</v>
      </c>
      <c r="H2806" t="s">
        <v>332</v>
      </c>
      <c r="I2806"/>
    </row>
    <row r="2807" spans="1:9">
      <c r="A2807" t="s">
        <v>2745</v>
      </c>
      <c r="B2807" s="1" t="str">
        <f>"12007313"</f>
        <v>12007313</v>
      </c>
      <c r="C2807" t="s">
        <v>2749</v>
      </c>
      <c r="D2807" t="s">
        <v>2762</v>
      </c>
      <c r="E2807" s="2"/>
      <c r="F2807" t="s">
        <v>12</v>
      </c>
      <c r="G2807" t="s">
        <v>25</v>
      </c>
      <c r="H2807" t="s">
        <v>332</v>
      </c>
      <c r="I2807"/>
    </row>
    <row r="2808" spans="1:9">
      <c r="A2808" t="s">
        <v>2745</v>
      </c>
      <c r="B2808" s="1" t="str">
        <f>"12007358"</f>
        <v>12007358</v>
      </c>
      <c r="C2808" t="s">
        <v>2749</v>
      </c>
      <c r="D2808" t="s">
        <v>2763</v>
      </c>
      <c r="E2808" s="2"/>
      <c r="F2808" t="s">
        <v>12</v>
      </c>
      <c r="G2808" t="s">
        <v>25</v>
      </c>
      <c r="H2808" t="s">
        <v>332</v>
      </c>
      <c r="I2808"/>
    </row>
    <row r="2809" spans="1:9">
      <c r="A2809" t="s">
        <v>2745</v>
      </c>
      <c r="B2809" s="1" t="str">
        <f>"12007308"</f>
        <v>12007308</v>
      </c>
      <c r="C2809" t="s">
        <v>2749</v>
      </c>
      <c r="D2809" t="s">
        <v>2764</v>
      </c>
      <c r="E2809" s="2"/>
      <c r="F2809" t="s">
        <v>12</v>
      </c>
      <c r="G2809" t="s">
        <v>25</v>
      </c>
      <c r="H2809" t="s">
        <v>332</v>
      </c>
      <c r="I2809"/>
    </row>
    <row r="2810" spans="1:9">
      <c r="A2810" t="s">
        <v>2745</v>
      </c>
      <c r="B2810" s="1" t="str">
        <f>"12007332"</f>
        <v>12007332</v>
      </c>
      <c r="C2810" t="s">
        <v>2749</v>
      </c>
      <c r="D2810" t="s">
        <v>2765</v>
      </c>
      <c r="E2810" s="2"/>
      <c r="F2810" t="s">
        <v>12</v>
      </c>
      <c r="G2810" t="s">
        <v>25</v>
      </c>
      <c r="H2810" t="s">
        <v>332</v>
      </c>
      <c r="I2810"/>
    </row>
    <row r="2811" spans="1:9">
      <c r="A2811" t="s">
        <v>2745</v>
      </c>
      <c r="B2811" s="1" t="str">
        <f>"12007347"</f>
        <v>12007347</v>
      </c>
      <c r="C2811" t="s">
        <v>2749</v>
      </c>
      <c r="D2811" t="s">
        <v>2766</v>
      </c>
      <c r="E2811" s="2"/>
      <c r="F2811" t="s">
        <v>12</v>
      </c>
      <c r="G2811" t="s">
        <v>25</v>
      </c>
      <c r="H2811" t="s">
        <v>332</v>
      </c>
      <c r="I2811"/>
    </row>
    <row r="2812" spans="1:9">
      <c r="A2812" t="s">
        <v>2745</v>
      </c>
      <c r="B2812" s="1" t="str">
        <f>"12007333"</f>
        <v>12007333</v>
      </c>
      <c r="C2812" t="s">
        <v>2749</v>
      </c>
      <c r="D2812" t="s">
        <v>2767</v>
      </c>
      <c r="E2812" s="2"/>
      <c r="F2812" t="s">
        <v>12</v>
      </c>
      <c r="G2812" t="s">
        <v>25</v>
      </c>
      <c r="H2812" t="s">
        <v>332</v>
      </c>
      <c r="I2812"/>
    </row>
    <row r="2813" spans="1:9">
      <c r="A2813" t="s">
        <v>2745</v>
      </c>
      <c r="B2813" s="1" t="str">
        <f>"12007334"</f>
        <v>12007334</v>
      </c>
      <c r="C2813" t="s">
        <v>2749</v>
      </c>
      <c r="D2813" t="s">
        <v>2768</v>
      </c>
      <c r="E2813" s="2"/>
      <c r="F2813" t="s">
        <v>12</v>
      </c>
      <c r="G2813" t="s">
        <v>25</v>
      </c>
      <c r="H2813" t="s">
        <v>332</v>
      </c>
      <c r="I2813"/>
    </row>
    <row r="2814" spans="1:9">
      <c r="A2814" t="s">
        <v>2745</v>
      </c>
      <c r="B2814" s="1" t="str">
        <f>"12007339"</f>
        <v>12007339</v>
      </c>
      <c r="C2814" t="s">
        <v>2749</v>
      </c>
      <c r="D2814" t="s">
        <v>2769</v>
      </c>
      <c r="E2814" s="2"/>
      <c r="F2814" t="s">
        <v>1477</v>
      </c>
      <c r="G2814" t="s">
        <v>25</v>
      </c>
      <c r="H2814" t="s">
        <v>25</v>
      </c>
      <c r="I2814"/>
    </row>
    <row r="2815" spans="1:9">
      <c r="A2815" t="s">
        <v>2745</v>
      </c>
      <c r="B2815" s="1" t="str">
        <f>"12007348"</f>
        <v>12007348</v>
      </c>
      <c r="C2815" t="s">
        <v>2749</v>
      </c>
      <c r="D2815" t="s">
        <v>2770</v>
      </c>
      <c r="E2815" s="2"/>
      <c r="F2815" t="s">
        <v>12</v>
      </c>
      <c r="G2815" t="s">
        <v>25</v>
      </c>
      <c r="H2815" t="s">
        <v>332</v>
      </c>
      <c r="I2815"/>
    </row>
    <row r="2816" spans="1:9">
      <c r="A2816" t="s">
        <v>2745</v>
      </c>
      <c r="B2816" s="1" t="str">
        <f>"12007349"</f>
        <v>12007349</v>
      </c>
      <c r="C2816" t="s">
        <v>2749</v>
      </c>
      <c r="D2816" t="s">
        <v>2771</v>
      </c>
      <c r="E2816" s="2"/>
      <c r="F2816" t="s">
        <v>12</v>
      </c>
      <c r="G2816" t="s">
        <v>25</v>
      </c>
      <c r="H2816" t="s">
        <v>332</v>
      </c>
      <c r="I2816"/>
    </row>
    <row r="2817" spans="1:9">
      <c r="A2817" t="s">
        <v>2745</v>
      </c>
      <c r="B2817" s="1" t="str">
        <f>"12007319"</f>
        <v>12007319</v>
      </c>
      <c r="C2817" t="s">
        <v>2749</v>
      </c>
      <c r="D2817" t="s">
        <v>2772</v>
      </c>
      <c r="E2817" s="2"/>
      <c r="F2817" t="s">
        <v>12</v>
      </c>
      <c r="G2817" t="s">
        <v>25</v>
      </c>
      <c r="H2817" t="s">
        <v>332</v>
      </c>
      <c r="I2817"/>
    </row>
    <row r="2818" spans="1:9">
      <c r="A2818" t="s">
        <v>2745</v>
      </c>
      <c r="B2818" s="1" t="str">
        <f>"20049133"</f>
        <v>20049133</v>
      </c>
      <c r="C2818"/>
      <c r="D2818" t="s">
        <v>2773</v>
      </c>
      <c r="E2818" s="2"/>
      <c r="F2818" t="s">
        <v>66</v>
      </c>
      <c r="G2818" t="s">
        <v>337</v>
      </c>
      <c r="H2818" t="s">
        <v>29</v>
      </c>
      <c r="I2818"/>
    </row>
    <row r="2819" spans="1:9">
      <c r="A2819" t="s">
        <v>2745</v>
      </c>
      <c r="B2819" s="1" t="str">
        <f>"20124373"</f>
        <v>20124373</v>
      </c>
      <c r="C2819" t="s">
        <v>1044</v>
      </c>
      <c r="D2819" t="s">
        <v>2774</v>
      </c>
      <c r="E2819" s="2"/>
      <c r="F2819" t="s">
        <v>2346</v>
      </c>
      <c r="G2819" t="s">
        <v>38</v>
      </c>
      <c r="H2819" t="s">
        <v>38</v>
      </c>
      <c r="I2819"/>
    </row>
    <row r="2820" spans="1:9">
      <c r="A2820" t="s">
        <v>2745</v>
      </c>
      <c r="B2820" s="1" t="str">
        <f>"20109943"</f>
        <v>20109943</v>
      </c>
      <c r="C2820" t="s">
        <v>1044</v>
      </c>
      <c r="D2820" t="s">
        <v>2775</v>
      </c>
      <c r="E2820" s="2"/>
      <c r="F2820" t="s">
        <v>2346</v>
      </c>
      <c r="G2820" t="s">
        <v>370</v>
      </c>
      <c r="H2820" t="s">
        <v>370</v>
      </c>
      <c r="I2820"/>
    </row>
    <row r="2821" spans="1:9">
      <c r="A2821" t="s">
        <v>2776</v>
      </c>
      <c r="B2821" s="1" t="str">
        <f>"12859247"</f>
        <v>12859247</v>
      </c>
      <c r="C2821" t="s">
        <v>260</v>
      </c>
      <c r="D2821" t="s">
        <v>2777</v>
      </c>
      <c r="E2821" s="2"/>
      <c r="F2821" t="s">
        <v>239</v>
      </c>
      <c r="G2821" t="s">
        <v>25</v>
      </c>
      <c r="H2821" t="s">
        <v>2778</v>
      </c>
      <c r="I2821"/>
    </row>
    <row r="2822" spans="1:9">
      <c r="A2822" t="s">
        <v>2776</v>
      </c>
      <c r="B2822" s="1" t="str">
        <f>"26526709"</f>
        <v>26526709</v>
      </c>
      <c r="C2822" t="s">
        <v>260</v>
      </c>
      <c r="D2822" t="s">
        <v>2779</v>
      </c>
      <c r="E2822" s="2"/>
      <c r="F2822" t="s">
        <v>239</v>
      </c>
      <c r="G2822"/>
      <c r="H2822" t="s">
        <v>2780</v>
      </c>
      <c r="I2822"/>
    </row>
    <row r="2823" spans="1:9">
      <c r="A2823" t="s">
        <v>2776</v>
      </c>
      <c r="B2823" s="1" t="str">
        <f>"11013405"</f>
        <v>11013405</v>
      </c>
      <c r="C2823" t="s">
        <v>260</v>
      </c>
      <c r="D2823" t="s">
        <v>2781</v>
      </c>
      <c r="E2823" s="2">
        <v>0.07</v>
      </c>
      <c r="F2823" t="s">
        <v>239</v>
      </c>
      <c r="G2823" t="s">
        <v>25</v>
      </c>
      <c r="H2823" t="s">
        <v>25</v>
      </c>
      <c r="I2823"/>
    </row>
    <row r="2824" spans="1:9">
      <c r="A2824" t="s">
        <v>2776</v>
      </c>
      <c r="B2824" s="1" t="str">
        <f>"20072513"</f>
        <v>20072513</v>
      </c>
      <c r="C2824" t="s">
        <v>260</v>
      </c>
      <c r="D2824" t="s">
        <v>2782</v>
      </c>
      <c r="E2824" s="2"/>
      <c r="F2824" t="s">
        <v>239</v>
      </c>
      <c r="G2824" t="s">
        <v>25</v>
      </c>
      <c r="H2824" t="s">
        <v>25</v>
      </c>
      <c r="I2824"/>
    </row>
    <row r="2825" spans="1:9">
      <c r="A2825" t="s">
        <v>2776</v>
      </c>
      <c r="B2825" s="1" t="str">
        <f>"11013236"</f>
        <v>11013236</v>
      </c>
      <c r="C2825" t="s">
        <v>260</v>
      </c>
      <c r="D2825" t="s">
        <v>2783</v>
      </c>
      <c r="E2825" s="2">
        <v>0.12</v>
      </c>
      <c r="F2825" t="s">
        <v>239</v>
      </c>
      <c r="G2825" t="s">
        <v>25</v>
      </c>
      <c r="H2825" t="s">
        <v>332</v>
      </c>
      <c r="I2825"/>
    </row>
    <row r="2826" spans="1:9">
      <c r="A2826" t="s">
        <v>2776</v>
      </c>
      <c r="B2826" s="1" t="str">
        <f>"20190086"</f>
        <v>20190086</v>
      </c>
      <c r="C2826" t="s">
        <v>260</v>
      </c>
      <c r="D2826" t="s">
        <v>2784</v>
      </c>
      <c r="E2826" s="2"/>
      <c r="F2826" t="s">
        <v>239</v>
      </c>
      <c r="G2826"/>
      <c r="H2826" t="s">
        <v>25</v>
      </c>
      <c r="I2826"/>
    </row>
    <row r="2827" spans="1:9">
      <c r="A2827" t="s">
        <v>2776</v>
      </c>
      <c r="B2827" s="1" t="str">
        <f>"20190087"</f>
        <v>20190087</v>
      </c>
      <c r="C2827" t="s">
        <v>260</v>
      </c>
      <c r="D2827" t="s">
        <v>2785</v>
      </c>
      <c r="E2827" s="2"/>
      <c r="F2827" t="s">
        <v>239</v>
      </c>
      <c r="G2827"/>
      <c r="H2827" t="s">
        <v>25</v>
      </c>
      <c r="I2827"/>
    </row>
    <row r="2828" spans="1:9">
      <c r="A2828" t="s">
        <v>2776</v>
      </c>
      <c r="B2828" s="1" t="str">
        <f>"12859247"</f>
        <v>12859247</v>
      </c>
      <c r="C2828" t="s">
        <v>260</v>
      </c>
      <c r="D2828" t="s">
        <v>2777</v>
      </c>
      <c r="E2828" s="2"/>
      <c r="F2828" t="s">
        <v>239</v>
      </c>
      <c r="G2828" t="s">
        <v>25</v>
      </c>
      <c r="H2828" t="s">
        <v>2778</v>
      </c>
      <c r="I2828"/>
    </row>
    <row r="2829" spans="1:9">
      <c r="A2829" t="s">
        <v>2776</v>
      </c>
      <c r="B2829" s="1" t="str">
        <f>"28146559"</f>
        <v>28146559</v>
      </c>
      <c r="C2829" t="s">
        <v>260</v>
      </c>
      <c r="D2829" t="s">
        <v>2786</v>
      </c>
      <c r="E2829" s="2"/>
      <c r="F2829" t="s">
        <v>239</v>
      </c>
      <c r="G2829" t="s">
        <v>25</v>
      </c>
      <c r="H2829" t="s">
        <v>25</v>
      </c>
      <c r="I2829"/>
    </row>
    <row r="2830" spans="1:9">
      <c r="A2830" t="s">
        <v>2776</v>
      </c>
      <c r="B2830" s="1" t="str">
        <f>"28146566"</f>
        <v>28146566</v>
      </c>
      <c r="C2830" t="s">
        <v>260</v>
      </c>
      <c r="D2830" t="s">
        <v>2787</v>
      </c>
      <c r="E2830" s="2"/>
      <c r="F2830" t="s">
        <v>239</v>
      </c>
      <c r="G2830" t="s">
        <v>25</v>
      </c>
      <c r="H2830" t="s">
        <v>25</v>
      </c>
      <c r="I2830"/>
    </row>
    <row r="2831" spans="1:9">
      <c r="A2831" t="s">
        <v>2776</v>
      </c>
      <c r="B2831" s="1" t="str">
        <f>"11013409"</f>
        <v>11013409</v>
      </c>
      <c r="C2831" t="s">
        <v>260</v>
      </c>
      <c r="D2831" t="s">
        <v>2788</v>
      </c>
      <c r="E2831" s="2">
        <v>0.115</v>
      </c>
      <c r="F2831" t="s">
        <v>239</v>
      </c>
      <c r="G2831" t="s">
        <v>25</v>
      </c>
      <c r="H2831" t="s">
        <v>25</v>
      </c>
      <c r="I2831"/>
    </row>
    <row r="2832" spans="1:9">
      <c r="A2832" t="s">
        <v>2776</v>
      </c>
      <c r="B2832" s="1" t="str">
        <f>"11013408"</f>
        <v>11013408</v>
      </c>
      <c r="C2832" t="s">
        <v>260</v>
      </c>
      <c r="D2832" t="s">
        <v>2789</v>
      </c>
      <c r="E2832" s="2">
        <v>0.115</v>
      </c>
      <c r="F2832" t="s">
        <v>239</v>
      </c>
      <c r="G2832" t="s">
        <v>25</v>
      </c>
      <c r="H2832" t="s">
        <v>25</v>
      </c>
      <c r="I2832"/>
    </row>
    <row r="2833" spans="1:9">
      <c r="A2833" t="s">
        <v>2776</v>
      </c>
      <c r="B2833" s="1" t="str">
        <f>"11013410"</f>
        <v>11013410</v>
      </c>
      <c r="C2833" t="s">
        <v>260</v>
      </c>
      <c r="D2833" t="s">
        <v>2790</v>
      </c>
      <c r="E2833" s="2">
        <v>0.115</v>
      </c>
      <c r="F2833" t="s">
        <v>239</v>
      </c>
      <c r="G2833" t="s">
        <v>25</v>
      </c>
      <c r="H2833" t="s">
        <v>25</v>
      </c>
      <c r="I2833"/>
    </row>
    <row r="2834" spans="1:9">
      <c r="A2834" t="s">
        <v>2776</v>
      </c>
      <c r="B2834" s="1" t="str">
        <f>"11013411"</f>
        <v>11013411</v>
      </c>
      <c r="C2834" t="s">
        <v>260</v>
      </c>
      <c r="D2834" t="s">
        <v>2791</v>
      </c>
      <c r="E2834" s="2">
        <v>0.12</v>
      </c>
      <c r="F2834" t="s">
        <v>239</v>
      </c>
      <c r="G2834" t="s">
        <v>25</v>
      </c>
      <c r="H2834" t="s">
        <v>25</v>
      </c>
      <c r="I2834"/>
    </row>
    <row r="2835" spans="1:9">
      <c r="A2835" t="s">
        <v>2776</v>
      </c>
      <c r="B2835" s="1" t="str">
        <f>"25990337"</f>
        <v>25990337</v>
      </c>
      <c r="C2835" t="s">
        <v>260</v>
      </c>
      <c r="D2835" t="s">
        <v>2792</v>
      </c>
      <c r="E2835" s="2"/>
      <c r="F2835" t="s">
        <v>239</v>
      </c>
      <c r="G2835" t="s">
        <v>25</v>
      </c>
      <c r="H2835" t="s">
        <v>25</v>
      </c>
      <c r="I2835"/>
    </row>
    <row r="2836" spans="1:9">
      <c r="A2836" t="s">
        <v>2776</v>
      </c>
      <c r="B2836" s="1" t="str">
        <f>"11013227"</f>
        <v>11013227</v>
      </c>
      <c r="C2836" t="s">
        <v>260</v>
      </c>
      <c r="D2836" t="s">
        <v>2793</v>
      </c>
      <c r="E2836" s="2">
        <v>0.125</v>
      </c>
      <c r="F2836" t="s">
        <v>239</v>
      </c>
      <c r="G2836" t="s">
        <v>25</v>
      </c>
      <c r="H2836" t="s">
        <v>25</v>
      </c>
      <c r="I2836"/>
    </row>
    <row r="2837" spans="1:9">
      <c r="A2837" t="s">
        <v>2776</v>
      </c>
      <c r="B2837" s="1" t="str">
        <f>"11013226"</f>
        <v>11013226</v>
      </c>
      <c r="C2837" t="s">
        <v>260</v>
      </c>
      <c r="D2837" t="s">
        <v>2794</v>
      </c>
      <c r="E2837" s="2">
        <v>0.125</v>
      </c>
      <c r="F2837" t="s">
        <v>239</v>
      </c>
      <c r="G2837" t="s">
        <v>25</v>
      </c>
      <c r="H2837" t="s">
        <v>25</v>
      </c>
      <c r="I2837"/>
    </row>
    <row r="2838" spans="1:9">
      <c r="A2838" t="s">
        <v>2776</v>
      </c>
      <c r="B2838" s="1" t="str">
        <f>"20190083"</f>
        <v>20190083</v>
      </c>
      <c r="C2838" t="s">
        <v>260</v>
      </c>
      <c r="D2838" t="s">
        <v>2795</v>
      </c>
      <c r="E2838" s="2"/>
      <c r="F2838" t="s">
        <v>239</v>
      </c>
      <c r="G2838" t="s">
        <v>25</v>
      </c>
      <c r="H2838" t="s">
        <v>25</v>
      </c>
      <c r="I2838"/>
    </row>
    <row r="2839" spans="1:9">
      <c r="A2839" t="s">
        <v>2776</v>
      </c>
      <c r="B2839" s="1" t="str">
        <f>"20190084"</f>
        <v>20190084</v>
      </c>
      <c r="C2839" t="s">
        <v>260</v>
      </c>
      <c r="D2839" t="s">
        <v>2796</v>
      </c>
      <c r="E2839" s="2"/>
      <c r="F2839" t="s">
        <v>239</v>
      </c>
      <c r="G2839" t="s">
        <v>25</v>
      </c>
      <c r="H2839" t="s">
        <v>25</v>
      </c>
      <c r="I2839"/>
    </row>
    <row r="2840" spans="1:9">
      <c r="A2840" t="s">
        <v>2776</v>
      </c>
      <c r="B2840" s="1" t="str">
        <f>"11013400"</f>
        <v>11013400</v>
      </c>
      <c r="C2840" t="s">
        <v>260</v>
      </c>
      <c r="D2840" t="s">
        <v>2797</v>
      </c>
      <c r="E2840" s="2">
        <v>0.115</v>
      </c>
      <c r="F2840" t="s">
        <v>239</v>
      </c>
      <c r="G2840" t="s">
        <v>25</v>
      </c>
      <c r="H2840" t="s">
        <v>25</v>
      </c>
      <c r="I2840"/>
    </row>
    <row r="2841" spans="1:9">
      <c r="A2841" t="s">
        <v>2776</v>
      </c>
      <c r="B2841" s="1" t="str">
        <f>"11013401"</f>
        <v>11013401</v>
      </c>
      <c r="C2841" t="s">
        <v>260</v>
      </c>
      <c r="D2841" t="s">
        <v>2798</v>
      </c>
      <c r="E2841" s="2">
        <v>0.115</v>
      </c>
      <c r="F2841" t="s">
        <v>2799</v>
      </c>
      <c r="G2841" t="s">
        <v>1463</v>
      </c>
      <c r="H2841" t="s">
        <v>1463</v>
      </c>
      <c r="I2841"/>
    </row>
    <row r="2842" spans="1:9">
      <c r="A2842" t="s">
        <v>2776</v>
      </c>
      <c r="B2842" s="1" t="str">
        <f>"11013399"</f>
        <v>11013399</v>
      </c>
      <c r="C2842" t="s">
        <v>260</v>
      </c>
      <c r="D2842" t="s">
        <v>2800</v>
      </c>
      <c r="E2842" s="2">
        <v>0.12</v>
      </c>
      <c r="F2842" t="s">
        <v>239</v>
      </c>
      <c r="G2842" t="s">
        <v>25</v>
      </c>
      <c r="H2842" t="s">
        <v>25</v>
      </c>
      <c r="I2842"/>
    </row>
    <row r="2843" spans="1:9">
      <c r="A2843" t="s">
        <v>2776</v>
      </c>
      <c r="B2843" s="1" t="str">
        <f>"11013417"</f>
        <v>11013417</v>
      </c>
      <c r="C2843" t="s">
        <v>260</v>
      </c>
      <c r="D2843" t="s">
        <v>2801</v>
      </c>
      <c r="E2843" s="2">
        <v>0.115</v>
      </c>
      <c r="F2843" t="s">
        <v>239</v>
      </c>
      <c r="G2843" t="s">
        <v>25</v>
      </c>
      <c r="H2843" t="s">
        <v>332</v>
      </c>
      <c r="I2843"/>
    </row>
    <row r="2844" spans="1:9">
      <c r="A2844" t="s">
        <v>2776</v>
      </c>
      <c r="B2844" s="1" t="str">
        <f>"11013233"</f>
        <v>11013233</v>
      </c>
      <c r="C2844" t="s">
        <v>260</v>
      </c>
      <c r="D2844" t="s">
        <v>2802</v>
      </c>
      <c r="E2844" s="2">
        <v>0.11</v>
      </c>
      <c r="F2844" t="s">
        <v>239</v>
      </c>
      <c r="G2844" t="s">
        <v>25</v>
      </c>
      <c r="H2844" t="s">
        <v>25</v>
      </c>
      <c r="I2844"/>
    </row>
    <row r="2845" spans="1:9">
      <c r="A2845" t="s">
        <v>2776</v>
      </c>
      <c r="B2845" s="1" t="str">
        <f>"10013416"</f>
        <v>10013416</v>
      </c>
      <c r="C2845" t="s">
        <v>260</v>
      </c>
      <c r="D2845" t="s">
        <v>2803</v>
      </c>
      <c r="E2845" s="2">
        <v>0.115</v>
      </c>
      <c r="F2845" t="s">
        <v>239</v>
      </c>
      <c r="G2845" t="s">
        <v>25</v>
      </c>
      <c r="H2845" t="s">
        <v>25</v>
      </c>
      <c r="I2845"/>
    </row>
    <row r="2846" spans="1:9">
      <c r="A2846" t="s">
        <v>2776</v>
      </c>
      <c r="B2846" s="1" t="str">
        <f>"11755642"</f>
        <v>11755642</v>
      </c>
      <c r="C2846" t="s">
        <v>260</v>
      </c>
      <c r="D2846" t="s">
        <v>2804</v>
      </c>
      <c r="E2846" s="2">
        <v>0.12</v>
      </c>
      <c r="F2846" t="s">
        <v>239</v>
      </c>
      <c r="G2846" t="s">
        <v>25</v>
      </c>
      <c r="H2846" t="s">
        <v>25</v>
      </c>
      <c r="I2846"/>
    </row>
    <row r="2847" spans="1:9">
      <c r="A2847" t="s">
        <v>2776</v>
      </c>
      <c r="B2847" s="1" t="str">
        <f>"11013428"</f>
        <v>11013428</v>
      </c>
      <c r="C2847" t="s">
        <v>260</v>
      </c>
      <c r="D2847" t="s">
        <v>2805</v>
      </c>
      <c r="E2847" s="2">
        <v>0.125</v>
      </c>
      <c r="F2847" t="s">
        <v>239</v>
      </c>
      <c r="G2847" t="s">
        <v>25</v>
      </c>
      <c r="H2847" t="s">
        <v>332</v>
      </c>
      <c r="I2847"/>
    </row>
    <row r="2848" spans="1:9">
      <c r="A2848" t="s">
        <v>2776</v>
      </c>
      <c r="B2848" s="1" t="str">
        <f>"11013242"</f>
        <v>11013242</v>
      </c>
      <c r="C2848" t="s">
        <v>260</v>
      </c>
      <c r="D2848" t="s">
        <v>2806</v>
      </c>
      <c r="E2848" s="2">
        <v>0.125</v>
      </c>
      <c r="F2848" t="s">
        <v>239</v>
      </c>
      <c r="G2848" t="s">
        <v>25</v>
      </c>
      <c r="H2848" t="s">
        <v>332</v>
      </c>
      <c r="I2848"/>
    </row>
    <row r="2849" spans="1:9">
      <c r="A2849" t="s">
        <v>2776</v>
      </c>
      <c r="B2849" s="1" t="str">
        <f>"11013427"</f>
        <v>11013427</v>
      </c>
      <c r="C2849" t="s">
        <v>260</v>
      </c>
      <c r="D2849" t="s">
        <v>2807</v>
      </c>
      <c r="E2849" s="2">
        <v>0.12</v>
      </c>
      <c r="F2849" t="s">
        <v>239</v>
      </c>
      <c r="G2849" t="s">
        <v>29</v>
      </c>
      <c r="H2849" t="s">
        <v>332</v>
      </c>
      <c r="I2849"/>
    </row>
    <row r="2850" spans="1:9">
      <c r="A2850" t="s">
        <v>2776</v>
      </c>
      <c r="B2850" s="1" t="str">
        <f>"11013426"</f>
        <v>11013426</v>
      </c>
      <c r="C2850" t="s">
        <v>260</v>
      </c>
      <c r="D2850" t="s">
        <v>2808</v>
      </c>
      <c r="E2850" s="2">
        <v>0.12</v>
      </c>
      <c r="F2850" t="s">
        <v>239</v>
      </c>
      <c r="G2850" t="s">
        <v>29</v>
      </c>
      <c r="H2850" t="s">
        <v>332</v>
      </c>
      <c r="I2850"/>
    </row>
    <row r="2851" spans="1:9">
      <c r="A2851" t="s">
        <v>2776</v>
      </c>
      <c r="B2851" s="1" t="str">
        <f>"11013248"</f>
        <v>11013248</v>
      </c>
      <c r="C2851" t="s">
        <v>260</v>
      </c>
      <c r="D2851" t="s">
        <v>2809</v>
      </c>
      <c r="E2851" s="2">
        <v>0.12</v>
      </c>
      <c r="F2851" t="s">
        <v>239</v>
      </c>
      <c r="G2851" t="s">
        <v>25</v>
      </c>
      <c r="H2851" t="s">
        <v>332</v>
      </c>
      <c r="I2851"/>
    </row>
    <row r="2852" spans="1:9">
      <c r="A2852" t="s">
        <v>2776</v>
      </c>
      <c r="B2852" s="1" t="str">
        <f>"11011901"</f>
        <v>11011901</v>
      </c>
      <c r="C2852" t="s">
        <v>260</v>
      </c>
      <c r="D2852" t="s">
        <v>2810</v>
      </c>
      <c r="E2852" s="2">
        <v>0.12</v>
      </c>
      <c r="F2852" t="s">
        <v>239</v>
      </c>
      <c r="G2852" t="s">
        <v>25</v>
      </c>
      <c r="H2852" t="s">
        <v>332</v>
      </c>
      <c r="I2852"/>
    </row>
    <row r="2853" spans="1:9">
      <c r="A2853" t="s">
        <v>2776</v>
      </c>
      <c r="B2853" s="1" t="str">
        <f>"11031329"</f>
        <v>11031329</v>
      </c>
      <c r="C2853" t="s">
        <v>260</v>
      </c>
      <c r="D2853" t="s">
        <v>2811</v>
      </c>
      <c r="E2853" s="2"/>
      <c r="F2853" t="s">
        <v>239</v>
      </c>
      <c r="G2853" t="s">
        <v>25</v>
      </c>
      <c r="H2853" t="s">
        <v>25</v>
      </c>
      <c r="I2853"/>
    </row>
    <row r="2854" spans="1:9">
      <c r="A2854" t="s">
        <v>2776</v>
      </c>
      <c r="B2854" s="1" t="str">
        <f>"11013418"</f>
        <v>11013418</v>
      </c>
      <c r="C2854" t="s">
        <v>260</v>
      </c>
      <c r="D2854" t="s">
        <v>2812</v>
      </c>
      <c r="E2854" s="2">
        <v>0.11</v>
      </c>
      <c r="F2854" t="s">
        <v>239</v>
      </c>
      <c r="G2854"/>
      <c r="H2854" t="s">
        <v>2813</v>
      </c>
      <c r="I2854"/>
    </row>
    <row r="2855" spans="1:9">
      <c r="A2855" t="s">
        <v>2776</v>
      </c>
      <c r="B2855" s="1" t="str">
        <f>"11671728"</f>
        <v>11671728</v>
      </c>
      <c r="C2855" t="s">
        <v>260</v>
      </c>
      <c r="D2855" t="s">
        <v>2814</v>
      </c>
      <c r="E2855" s="2">
        <v>0.12</v>
      </c>
      <c r="F2855" t="s">
        <v>239</v>
      </c>
      <c r="G2855" t="s">
        <v>25</v>
      </c>
      <c r="H2855" t="s">
        <v>332</v>
      </c>
      <c r="I2855"/>
    </row>
    <row r="2856" spans="1:9">
      <c r="A2856" t="s">
        <v>2776</v>
      </c>
      <c r="B2856" s="1" t="str">
        <f>"11671719"</f>
        <v>11671719</v>
      </c>
      <c r="C2856" t="s">
        <v>260</v>
      </c>
      <c r="D2856" t="s">
        <v>2815</v>
      </c>
      <c r="E2856" s="2">
        <v>0.12</v>
      </c>
      <c r="F2856" t="s">
        <v>239</v>
      </c>
      <c r="G2856" t="s">
        <v>25</v>
      </c>
      <c r="H2856" t="s">
        <v>332</v>
      </c>
      <c r="I2856"/>
    </row>
    <row r="2857" spans="1:9">
      <c r="A2857" t="s">
        <v>2776</v>
      </c>
      <c r="B2857" s="1" t="str">
        <f>"11671721"</f>
        <v>11671721</v>
      </c>
      <c r="C2857" t="s">
        <v>260</v>
      </c>
      <c r="D2857" t="s">
        <v>2816</v>
      </c>
      <c r="E2857" s="2">
        <v>0.12</v>
      </c>
      <c r="F2857" t="s">
        <v>239</v>
      </c>
      <c r="G2857" t="s">
        <v>25</v>
      </c>
      <c r="H2857" t="s">
        <v>332</v>
      </c>
      <c r="I2857"/>
    </row>
    <row r="2858" spans="1:9">
      <c r="A2858" t="s">
        <v>2776</v>
      </c>
      <c r="B2858" s="1" t="str">
        <f>"11671724"</f>
        <v>11671724</v>
      </c>
      <c r="C2858" t="s">
        <v>260</v>
      </c>
      <c r="D2858" t="s">
        <v>2817</v>
      </c>
      <c r="E2858" s="2">
        <v>0.125</v>
      </c>
      <c r="F2858" t="s">
        <v>239</v>
      </c>
      <c r="G2858" t="s">
        <v>25</v>
      </c>
      <c r="H2858" t="s">
        <v>332</v>
      </c>
      <c r="I2858"/>
    </row>
    <row r="2859" spans="1:9">
      <c r="A2859" t="s">
        <v>2776</v>
      </c>
      <c r="B2859" s="1" t="str">
        <f>"11013231"</f>
        <v>11013231</v>
      </c>
      <c r="C2859" t="s">
        <v>260</v>
      </c>
      <c r="D2859" t="s">
        <v>2818</v>
      </c>
      <c r="E2859" s="2">
        <v>0.115</v>
      </c>
      <c r="F2859" t="s">
        <v>239</v>
      </c>
      <c r="G2859" t="s">
        <v>25</v>
      </c>
      <c r="H2859" t="s">
        <v>25</v>
      </c>
      <c r="I2859"/>
    </row>
    <row r="2860" spans="1:9">
      <c r="A2860" t="s">
        <v>2776</v>
      </c>
      <c r="B2860" s="1" t="str">
        <f>"11013232"</f>
        <v>11013232</v>
      </c>
      <c r="C2860" t="s">
        <v>260</v>
      </c>
      <c r="D2860" t="s">
        <v>2819</v>
      </c>
      <c r="E2860" s="2">
        <v>0.115</v>
      </c>
      <c r="F2860" t="s">
        <v>2799</v>
      </c>
      <c r="G2860" t="s">
        <v>1463</v>
      </c>
      <c r="H2860" t="s">
        <v>29</v>
      </c>
      <c r="I2860"/>
    </row>
    <row r="2861" spans="1:9">
      <c r="A2861" t="s">
        <v>2776</v>
      </c>
      <c r="B2861" s="1" t="str">
        <f>"28060754"</f>
        <v>28060754</v>
      </c>
      <c r="C2861" t="s">
        <v>260</v>
      </c>
      <c r="D2861" t="s">
        <v>2820</v>
      </c>
      <c r="E2861" s="2"/>
      <c r="F2861" t="s">
        <v>239</v>
      </c>
      <c r="G2861" t="s">
        <v>25</v>
      </c>
      <c r="H2861" t="s">
        <v>25</v>
      </c>
      <c r="I2861"/>
    </row>
    <row r="2862" spans="1:9">
      <c r="A2862" t="s">
        <v>2776</v>
      </c>
      <c r="B2862" s="1" t="str">
        <f>"11013230"</f>
        <v>11013230</v>
      </c>
      <c r="C2862" t="s">
        <v>260</v>
      </c>
      <c r="D2862" t="s">
        <v>2821</v>
      </c>
      <c r="E2862" s="2">
        <v>0.115</v>
      </c>
      <c r="F2862" t="s">
        <v>239</v>
      </c>
      <c r="G2862" t="s">
        <v>25</v>
      </c>
      <c r="H2862" t="s">
        <v>25</v>
      </c>
      <c r="I2862"/>
    </row>
    <row r="2863" spans="1:9">
      <c r="A2863" t="s">
        <v>2776</v>
      </c>
      <c r="B2863" s="1" t="str">
        <f>"11671727"</f>
        <v>11671727</v>
      </c>
      <c r="C2863" t="s">
        <v>260</v>
      </c>
      <c r="D2863" t="s">
        <v>2822</v>
      </c>
      <c r="E2863" s="2">
        <v>0.12</v>
      </c>
      <c r="F2863" t="s">
        <v>239</v>
      </c>
      <c r="G2863" t="s">
        <v>25</v>
      </c>
      <c r="H2863" t="s">
        <v>332</v>
      </c>
      <c r="I2863"/>
    </row>
    <row r="2864" spans="1:9">
      <c r="A2864" t="s">
        <v>2776</v>
      </c>
      <c r="B2864" s="1" t="str">
        <f>"11671725"</f>
        <v>11671725</v>
      </c>
      <c r="C2864" t="s">
        <v>260</v>
      </c>
      <c r="D2864" t="s">
        <v>2823</v>
      </c>
      <c r="E2864" s="2">
        <v>0.12</v>
      </c>
      <c r="F2864" t="s">
        <v>239</v>
      </c>
      <c r="G2864" t="s">
        <v>25</v>
      </c>
      <c r="H2864" t="s">
        <v>332</v>
      </c>
      <c r="I2864"/>
    </row>
    <row r="2865" spans="1:9">
      <c r="A2865" t="s">
        <v>2776</v>
      </c>
      <c r="B2865" s="1" t="str">
        <f>"11013429"</f>
        <v>11013429</v>
      </c>
      <c r="C2865" t="s">
        <v>260</v>
      </c>
      <c r="D2865" t="s">
        <v>2824</v>
      </c>
      <c r="E2865" s="2">
        <v>0.12</v>
      </c>
      <c r="F2865" t="s">
        <v>2799</v>
      </c>
      <c r="G2865" t="s">
        <v>1463</v>
      </c>
      <c r="H2865" t="s">
        <v>332</v>
      </c>
      <c r="I2865"/>
    </row>
    <row r="2866" spans="1:9">
      <c r="A2866" t="s">
        <v>2776</v>
      </c>
      <c r="B2866" s="1" t="str">
        <f>"11100581"</f>
        <v>11100581</v>
      </c>
      <c r="C2866" t="s">
        <v>260</v>
      </c>
      <c r="D2866" t="s">
        <v>2825</v>
      </c>
      <c r="E2866" s="2">
        <v>0.12</v>
      </c>
      <c r="F2866" t="s">
        <v>239</v>
      </c>
      <c r="G2866" t="s">
        <v>25</v>
      </c>
      <c r="H2866" t="s">
        <v>332</v>
      </c>
      <c r="I2866"/>
    </row>
    <row r="2867" spans="1:9">
      <c r="A2867" t="s">
        <v>2776</v>
      </c>
      <c r="B2867" s="1" t="str">
        <f>"11060850"</f>
        <v>11060850</v>
      </c>
      <c r="C2867" t="s">
        <v>260</v>
      </c>
      <c r="D2867" t="s">
        <v>2826</v>
      </c>
      <c r="E2867" s="2">
        <v>0.125</v>
      </c>
      <c r="F2867" t="s">
        <v>239</v>
      </c>
      <c r="G2867" t="s">
        <v>25</v>
      </c>
      <c r="H2867" t="s">
        <v>332</v>
      </c>
      <c r="I2867"/>
    </row>
    <row r="2868" spans="1:9">
      <c r="A2868" t="s">
        <v>2776</v>
      </c>
      <c r="B2868" s="1" t="str">
        <f>"11013243"</f>
        <v>11013243</v>
      </c>
      <c r="C2868" t="s">
        <v>260</v>
      </c>
      <c r="D2868" t="s">
        <v>2827</v>
      </c>
      <c r="E2868" s="2">
        <v>0.125</v>
      </c>
      <c r="F2868" t="s">
        <v>239</v>
      </c>
      <c r="G2868" t="s">
        <v>25</v>
      </c>
      <c r="H2868" t="s">
        <v>332</v>
      </c>
      <c r="I2868"/>
    </row>
    <row r="2869" spans="1:9">
      <c r="A2869" t="s">
        <v>2776</v>
      </c>
      <c r="B2869" s="1" t="str">
        <f>"11013430"</f>
        <v>11013430</v>
      </c>
      <c r="C2869" t="s">
        <v>260</v>
      </c>
      <c r="D2869" t="s">
        <v>2828</v>
      </c>
      <c r="E2869" s="2">
        <v>0.125</v>
      </c>
      <c r="F2869" t="s">
        <v>2799</v>
      </c>
      <c r="G2869" t="s">
        <v>1463</v>
      </c>
      <c r="H2869" t="s">
        <v>332</v>
      </c>
      <c r="I2869"/>
    </row>
    <row r="2870" spans="1:9">
      <c r="A2870" t="s">
        <v>2776</v>
      </c>
      <c r="B2870" s="1" t="str">
        <f>"20260699"</f>
        <v>20260699</v>
      </c>
      <c r="C2870" t="s">
        <v>260</v>
      </c>
      <c r="D2870" t="s">
        <v>2829</v>
      </c>
      <c r="E2870" s="2"/>
      <c r="F2870" t="s">
        <v>239</v>
      </c>
      <c r="G2870" t="s">
        <v>25</v>
      </c>
      <c r="H2870" t="s">
        <v>25</v>
      </c>
      <c r="I2870"/>
    </row>
    <row r="2871" spans="1:9">
      <c r="A2871" t="s">
        <v>2776</v>
      </c>
      <c r="B2871" s="1" t="str">
        <f>"11013414"</f>
        <v>11013414</v>
      </c>
      <c r="C2871" t="s">
        <v>260</v>
      </c>
      <c r="D2871" t="s">
        <v>2830</v>
      </c>
      <c r="E2871" s="2">
        <v>0.105</v>
      </c>
      <c r="F2871" t="s">
        <v>2799</v>
      </c>
      <c r="G2871" t="s">
        <v>1463</v>
      </c>
      <c r="H2871" t="s">
        <v>1463</v>
      </c>
      <c r="I2871"/>
    </row>
    <row r="2872" spans="1:9">
      <c r="A2872" t="s">
        <v>2776</v>
      </c>
      <c r="B2872" s="1" t="str">
        <f>"11013423"</f>
        <v>11013423</v>
      </c>
      <c r="C2872" t="s">
        <v>260</v>
      </c>
      <c r="D2872" t="s">
        <v>2831</v>
      </c>
      <c r="E2872" s="2">
        <v>0.08</v>
      </c>
      <c r="F2872" t="s">
        <v>2799</v>
      </c>
      <c r="G2872" t="s">
        <v>29</v>
      </c>
      <c r="H2872" t="s">
        <v>29</v>
      </c>
      <c r="I2872"/>
    </row>
    <row r="2873" spans="1:9">
      <c r="A2873" t="s">
        <v>2776</v>
      </c>
      <c r="B2873" s="1" t="str">
        <f>"11013422"</f>
        <v>11013422</v>
      </c>
      <c r="C2873" t="s">
        <v>260</v>
      </c>
      <c r="D2873" t="s">
        <v>2832</v>
      </c>
      <c r="E2873" s="2">
        <v>0.08</v>
      </c>
      <c r="F2873" t="s">
        <v>2799</v>
      </c>
      <c r="G2873" t="s">
        <v>29</v>
      </c>
      <c r="H2873" t="s">
        <v>29</v>
      </c>
      <c r="I2873"/>
    </row>
    <row r="2874" spans="1:9">
      <c r="A2874" t="s">
        <v>2776</v>
      </c>
      <c r="B2874" s="1" t="str">
        <f>"11013424"</f>
        <v>11013424</v>
      </c>
      <c r="C2874" t="s">
        <v>260</v>
      </c>
      <c r="D2874" t="s">
        <v>2833</v>
      </c>
      <c r="E2874" s="2">
        <v>0.08</v>
      </c>
      <c r="F2874" t="s">
        <v>2799</v>
      </c>
      <c r="G2874" t="s">
        <v>29</v>
      </c>
      <c r="H2874" t="s">
        <v>29</v>
      </c>
      <c r="I2874"/>
    </row>
    <row r="2875" spans="1:9">
      <c r="A2875" t="s">
        <v>2776</v>
      </c>
      <c r="B2875" s="1" t="str">
        <f>"11013412"</f>
        <v>11013412</v>
      </c>
      <c r="C2875" t="s">
        <v>260</v>
      </c>
      <c r="D2875" t="s">
        <v>2834</v>
      </c>
      <c r="E2875" s="2">
        <v>0.115</v>
      </c>
      <c r="F2875" t="s">
        <v>239</v>
      </c>
      <c r="G2875" t="s">
        <v>25</v>
      </c>
      <c r="H2875" t="s">
        <v>25</v>
      </c>
      <c r="I2875"/>
    </row>
    <row r="2876" spans="1:9">
      <c r="A2876" t="s">
        <v>2776</v>
      </c>
      <c r="B2876" s="1" t="str">
        <f>"11013416"</f>
        <v>11013416</v>
      </c>
      <c r="C2876" t="s">
        <v>260</v>
      </c>
      <c r="D2876" t="s">
        <v>2835</v>
      </c>
      <c r="E2876" s="2">
        <v>0.11</v>
      </c>
      <c r="F2876" t="s">
        <v>239</v>
      </c>
      <c r="G2876" t="s">
        <v>25</v>
      </c>
      <c r="H2876" t="s">
        <v>25</v>
      </c>
      <c r="I2876"/>
    </row>
    <row r="2877" spans="1:9">
      <c r="A2877" t="s">
        <v>2776</v>
      </c>
      <c r="B2877" s="1" t="str">
        <f>"11013419"</f>
        <v>11013419</v>
      </c>
      <c r="C2877" t="s">
        <v>260</v>
      </c>
      <c r="D2877" t="s">
        <v>2836</v>
      </c>
      <c r="E2877" s="2">
        <v>0.115</v>
      </c>
      <c r="F2877" t="s">
        <v>239</v>
      </c>
      <c r="G2877" t="s">
        <v>25</v>
      </c>
      <c r="H2877" t="s">
        <v>25</v>
      </c>
      <c r="I2877"/>
    </row>
    <row r="2878" spans="1:9">
      <c r="A2878" t="s">
        <v>2776</v>
      </c>
      <c r="B2878" s="1" t="str">
        <f>"11013406"</f>
        <v>11013406</v>
      </c>
      <c r="C2878" t="s">
        <v>260</v>
      </c>
      <c r="D2878" t="s">
        <v>2837</v>
      </c>
      <c r="E2878" s="2">
        <v>0.11</v>
      </c>
      <c r="F2878" t="s">
        <v>239</v>
      </c>
      <c r="G2878" t="s">
        <v>25</v>
      </c>
      <c r="H2878" t="s">
        <v>25</v>
      </c>
      <c r="I2878"/>
    </row>
    <row r="2879" spans="1:9">
      <c r="A2879" t="s">
        <v>2776</v>
      </c>
      <c r="B2879" s="1" t="str">
        <f>"11013436"</f>
        <v>11013436</v>
      </c>
      <c r="C2879" t="s">
        <v>260</v>
      </c>
      <c r="D2879" t="s">
        <v>2838</v>
      </c>
      <c r="E2879" s="2">
        <v>0.105</v>
      </c>
      <c r="F2879" t="s">
        <v>239</v>
      </c>
      <c r="G2879" t="s">
        <v>25</v>
      </c>
      <c r="H2879" t="s">
        <v>25</v>
      </c>
      <c r="I2879"/>
    </row>
    <row r="2880" spans="1:9">
      <c r="A2880" t="s">
        <v>2776</v>
      </c>
      <c r="B2880" s="1" t="str">
        <f>"20034887"</f>
        <v>20034887</v>
      </c>
      <c r="C2880" t="s">
        <v>260</v>
      </c>
      <c r="D2880" t="s">
        <v>2839</v>
      </c>
      <c r="E2880" s="2"/>
      <c r="F2880" t="s">
        <v>239</v>
      </c>
      <c r="G2880" t="s">
        <v>25</v>
      </c>
      <c r="H2880" t="s">
        <v>25</v>
      </c>
      <c r="I2880"/>
    </row>
    <row r="2881" spans="1:9">
      <c r="A2881" t="s">
        <v>2776</v>
      </c>
      <c r="B2881" s="1" t="str">
        <f>"20072708"</f>
        <v>20072708</v>
      </c>
      <c r="C2881" t="s">
        <v>260</v>
      </c>
      <c r="D2881" t="s">
        <v>2840</v>
      </c>
      <c r="E2881" s="2"/>
      <c r="F2881" t="s">
        <v>239</v>
      </c>
      <c r="G2881" t="s">
        <v>25</v>
      </c>
      <c r="H2881" t="s">
        <v>25</v>
      </c>
      <c r="I2881"/>
    </row>
    <row r="2882" spans="1:9">
      <c r="A2882" t="s">
        <v>2776</v>
      </c>
      <c r="B2882" s="1" t="str">
        <f>"11058560"</f>
        <v>11058560</v>
      </c>
      <c r="C2882" t="s">
        <v>260</v>
      </c>
      <c r="D2882" t="s">
        <v>2841</v>
      </c>
      <c r="E2882" s="2">
        <v>0.12</v>
      </c>
      <c r="F2882" t="s">
        <v>239</v>
      </c>
      <c r="G2882" t="s">
        <v>25</v>
      </c>
      <c r="H2882" t="s">
        <v>332</v>
      </c>
      <c r="I2882"/>
    </row>
    <row r="2883" spans="1:9">
      <c r="A2883" t="s">
        <v>2776</v>
      </c>
      <c r="B2883" s="1" t="str">
        <f>"11013247"</f>
        <v>11013247</v>
      </c>
      <c r="C2883" t="s">
        <v>260</v>
      </c>
      <c r="D2883" t="s">
        <v>2842</v>
      </c>
      <c r="E2883" s="2">
        <v>0.125</v>
      </c>
      <c r="F2883" t="s">
        <v>239</v>
      </c>
      <c r="G2883" t="s">
        <v>25</v>
      </c>
      <c r="H2883" t="s">
        <v>332</v>
      </c>
      <c r="I2883"/>
    </row>
    <row r="2884" spans="1:9">
      <c r="A2884" t="s">
        <v>2776</v>
      </c>
      <c r="B2884" s="1" t="str">
        <f>"11013425"</f>
        <v>11013425</v>
      </c>
      <c r="C2884" t="s">
        <v>260</v>
      </c>
      <c r="D2884" t="s">
        <v>2843</v>
      </c>
      <c r="E2884" s="2">
        <v>0.12</v>
      </c>
      <c r="F2884" t="s">
        <v>239</v>
      </c>
      <c r="G2884" t="s">
        <v>25</v>
      </c>
      <c r="H2884" t="s">
        <v>332</v>
      </c>
      <c r="I2884"/>
    </row>
    <row r="2885" spans="1:9">
      <c r="A2885" t="s">
        <v>2776</v>
      </c>
      <c r="B2885" s="1" t="str">
        <f>"11013413"</f>
        <v>11013413</v>
      </c>
      <c r="C2885" t="s">
        <v>260</v>
      </c>
      <c r="D2885" t="s">
        <v>2844</v>
      </c>
      <c r="E2885" s="2">
        <v>0.11</v>
      </c>
      <c r="F2885" t="s">
        <v>239</v>
      </c>
      <c r="G2885" t="s">
        <v>25</v>
      </c>
      <c r="H2885" t="s">
        <v>25</v>
      </c>
      <c r="I2885"/>
    </row>
    <row r="2886" spans="1:9">
      <c r="A2886" t="s">
        <v>2776</v>
      </c>
      <c r="B2886" s="1" t="str">
        <f>"11013415"</f>
        <v>11013415</v>
      </c>
      <c r="C2886" t="s">
        <v>260</v>
      </c>
      <c r="D2886" t="s">
        <v>2845</v>
      </c>
      <c r="E2886" s="2">
        <v>0.11</v>
      </c>
      <c r="F2886" t="s">
        <v>239</v>
      </c>
      <c r="G2886" t="s">
        <v>25</v>
      </c>
      <c r="H2886" t="s">
        <v>25</v>
      </c>
      <c r="I2886"/>
    </row>
    <row r="2887" spans="1:9">
      <c r="A2887" t="s">
        <v>2776</v>
      </c>
      <c r="B2887" s="1" t="str">
        <f>"20225544"</f>
        <v>20225544</v>
      </c>
      <c r="C2887" t="s">
        <v>2846</v>
      </c>
      <c r="D2887" t="s">
        <v>2847</v>
      </c>
      <c r="E2887" s="2"/>
      <c r="F2887" t="s">
        <v>239</v>
      </c>
      <c r="G2887" t="s">
        <v>25</v>
      </c>
      <c r="H2887" t="s">
        <v>25</v>
      </c>
      <c r="I2887"/>
    </row>
    <row r="2888" spans="1:9">
      <c r="A2888" t="s">
        <v>2848</v>
      </c>
      <c r="B2888" s="1" t="str">
        <f>"22414002"</f>
        <v>22414002</v>
      </c>
      <c r="C2888" t="s">
        <v>260</v>
      </c>
      <c r="D2888" t="s">
        <v>2849</v>
      </c>
      <c r="E2888" s="2"/>
      <c r="F2888" t="s">
        <v>239</v>
      </c>
      <c r="G2888" t="s">
        <v>25</v>
      </c>
      <c r="H2888" t="s">
        <v>25</v>
      </c>
      <c r="I2888"/>
    </row>
    <row r="2889" spans="1:9">
      <c r="A2889" t="s">
        <v>2848</v>
      </c>
      <c r="B2889" s="1" t="str">
        <f>"20010071"</f>
        <v>20010071</v>
      </c>
      <c r="C2889" t="s">
        <v>260</v>
      </c>
      <c r="D2889" t="s">
        <v>2850</v>
      </c>
      <c r="E2889" s="2"/>
      <c r="F2889" t="s">
        <v>239</v>
      </c>
      <c r="G2889" t="s">
        <v>25</v>
      </c>
      <c r="H2889" t="s">
        <v>25</v>
      </c>
      <c r="I2889"/>
    </row>
    <row r="2890" spans="1:9">
      <c r="A2890" t="s">
        <v>2848</v>
      </c>
      <c r="B2890" s="1" t="str">
        <f>"20422435"</f>
        <v>20422435</v>
      </c>
      <c r="C2890" t="s">
        <v>260</v>
      </c>
      <c r="D2890" t="s">
        <v>2851</v>
      </c>
      <c r="E2890" s="2"/>
      <c r="F2890" t="s">
        <v>239</v>
      </c>
      <c r="G2890" t="s">
        <v>25</v>
      </c>
      <c r="H2890" t="s">
        <v>25</v>
      </c>
      <c r="I2890"/>
    </row>
    <row r="2891" spans="1:9">
      <c r="A2891" t="s">
        <v>2848</v>
      </c>
      <c r="B2891" s="1" t="str">
        <f>"20010069"</f>
        <v>20010069</v>
      </c>
      <c r="C2891" t="s">
        <v>260</v>
      </c>
      <c r="D2891" t="s">
        <v>2852</v>
      </c>
      <c r="E2891" s="2"/>
      <c r="F2891" t="s">
        <v>239</v>
      </c>
      <c r="G2891" t="s">
        <v>25</v>
      </c>
      <c r="H2891" t="s">
        <v>25</v>
      </c>
      <c r="I2891"/>
    </row>
    <row r="2892" spans="1:9">
      <c r="A2892" t="s">
        <v>2848</v>
      </c>
      <c r="B2892" s="1" t="str">
        <f>"26526709"</f>
        <v>26526709</v>
      </c>
      <c r="C2892" t="s">
        <v>260</v>
      </c>
      <c r="D2892" t="s">
        <v>2779</v>
      </c>
      <c r="E2892" s="2"/>
      <c r="F2892" t="s">
        <v>239</v>
      </c>
      <c r="G2892"/>
      <c r="H2892" t="s">
        <v>2780</v>
      </c>
      <c r="I2892"/>
    </row>
    <row r="2893" spans="1:9">
      <c r="A2893" t="s">
        <v>2848</v>
      </c>
      <c r="B2893" s="1" t="str">
        <f>"26526708"</f>
        <v>26526708</v>
      </c>
      <c r="C2893" t="s">
        <v>260</v>
      </c>
      <c r="D2893" t="s">
        <v>2853</v>
      </c>
      <c r="E2893" s="2"/>
      <c r="F2893" t="s">
        <v>239</v>
      </c>
      <c r="G2893" t="s">
        <v>25</v>
      </c>
      <c r="H2893" t="s">
        <v>25</v>
      </c>
      <c r="I2893"/>
    </row>
    <row r="2894" spans="1:9">
      <c r="A2894" t="s">
        <v>2848</v>
      </c>
      <c r="B2894" s="1" t="str">
        <f>"25667003"</f>
        <v>25667003</v>
      </c>
      <c r="C2894" t="s">
        <v>260</v>
      </c>
      <c r="D2894" t="s">
        <v>2854</v>
      </c>
      <c r="E2894" s="2"/>
      <c r="F2894" t="s">
        <v>239</v>
      </c>
      <c r="G2894" t="s">
        <v>25</v>
      </c>
      <c r="H2894" t="s">
        <v>25</v>
      </c>
      <c r="I2894"/>
    </row>
    <row r="2895" spans="1:9">
      <c r="A2895" t="s">
        <v>2855</v>
      </c>
      <c r="B2895" s="1" t="str">
        <f>"11012338"</f>
        <v>11012338</v>
      </c>
      <c r="C2895" t="s">
        <v>2856</v>
      </c>
      <c r="D2895" t="s">
        <v>2857</v>
      </c>
      <c r="E2895" s="2">
        <v>0.195</v>
      </c>
      <c r="F2895" t="s">
        <v>12</v>
      </c>
      <c r="G2895" t="s">
        <v>29</v>
      </c>
      <c r="H2895" t="s">
        <v>332</v>
      </c>
      <c r="I2895"/>
    </row>
    <row r="2896" spans="1:9">
      <c r="A2896" t="s">
        <v>2855</v>
      </c>
      <c r="B2896" s="1" t="str">
        <f>"11063795"</f>
        <v>11063795</v>
      </c>
      <c r="C2896" t="s">
        <v>2856</v>
      </c>
      <c r="D2896" t="s">
        <v>2858</v>
      </c>
      <c r="E2896" s="2">
        <v>0.15</v>
      </c>
      <c r="F2896" t="s">
        <v>12</v>
      </c>
      <c r="G2896" t="s">
        <v>29</v>
      </c>
      <c r="H2896" t="s">
        <v>332</v>
      </c>
      <c r="I2896"/>
    </row>
    <row r="2897" spans="1:9">
      <c r="A2897" t="s">
        <v>2855</v>
      </c>
      <c r="B2897" s="1" t="str">
        <f>"11112905"</f>
        <v>11112905</v>
      </c>
      <c r="C2897" t="s">
        <v>2856</v>
      </c>
      <c r="D2897" t="s">
        <v>2859</v>
      </c>
      <c r="E2897" s="2">
        <v>0.175</v>
      </c>
      <c r="F2897" t="s">
        <v>12</v>
      </c>
      <c r="G2897" t="s">
        <v>29</v>
      </c>
      <c r="H2897" t="s">
        <v>332</v>
      </c>
      <c r="I2897"/>
    </row>
    <row r="2898" spans="1:9">
      <c r="A2898" t="s">
        <v>2860</v>
      </c>
      <c r="B2898" s="1" t="str">
        <f>"20020903"</f>
        <v>20020903</v>
      </c>
      <c r="C2898" t="s">
        <v>2861</v>
      </c>
      <c r="D2898" t="s">
        <v>2862</v>
      </c>
      <c r="E2898" s="2"/>
      <c r="F2898" t="s">
        <v>239</v>
      </c>
      <c r="G2898" t="s">
        <v>25</v>
      </c>
      <c r="H2898" t="s">
        <v>25</v>
      </c>
      <c r="I2898"/>
    </row>
    <row r="2899" spans="1:9">
      <c r="A2899" t="s">
        <v>2860</v>
      </c>
      <c r="B2899" s="1" t="str">
        <f>"11220652"</f>
        <v>11220652</v>
      </c>
      <c r="C2899" t="s">
        <v>2861</v>
      </c>
      <c r="D2899" t="s">
        <v>2863</v>
      </c>
      <c r="E2899" s="2">
        <v>0.2</v>
      </c>
      <c r="F2899" t="s">
        <v>12</v>
      </c>
      <c r="G2899" t="s">
        <v>25</v>
      </c>
      <c r="H2899" t="s">
        <v>332</v>
      </c>
      <c r="I2899"/>
    </row>
    <row r="2900" spans="1:9">
      <c r="A2900" t="s">
        <v>2860</v>
      </c>
      <c r="B2900" s="1" t="str">
        <f>"11220655"</f>
        <v>11220655</v>
      </c>
      <c r="C2900" t="s">
        <v>2861</v>
      </c>
      <c r="D2900" t="s">
        <v>2864</v>
      </c>
      <c r="E2900" s="2">
        <v>0.2</v>
      </c>
      <c r="F2900" t="s">
        <v>239</v>
      </c>
      <c r="G2900" t="s">
        <v>25</v>
      </c>
      <c r="H2900" t="s">
        <v>332</v>
      </c>
      <c r="I2900"/>
    </row>
    <row r="2901" spans="1:9">
      <c r="A2901" t="s">
        <v>2860</v>
      </c>
      <c r="B2901" s="1" t="str">
        <f>"11220653"</f>
        <v>11220653</v>
      </c>
      <c r="C2901" t="s">
        <v>2861</v>
      </c>
      <c r="D2901" t="s">
        <v>2865</v>
      </c>
      <c r="E2901" s="2">
        <v>0.2</v>
      </c>
      <c r="F2901" t="s">
        <v>239</v>
      </c>
      <c r="G2901" t="s">
        <v>25</v>
      </c>
      <c r="H2901" t="s">
        <v>332</v>
      </c>
      <c r="I2901"/>
    </row>
    <row r="2902" spans="1:9">
      <c r="A2902" t="s">
        <v>2860</v>
      </c>
      <c r="B2902" s="1" t="str">
        <f>"11090490"</f>
        <v>11090490</v>
      </c>
      <c r="C2902" t="s">
        <v>2861</v>
      </c>
      <c r="D2902" t="s">
        <v>2866</v>
      </c>
      <c r="E2902" s="2">
        <v>0.195</v>
      </c>
      <c r="F2902" t="s">
        <v>12</v>
      </c>
      <c r="G2902" t="s">
        <v>29</v>
      </c>
      <c r="H2902" t="s">
        <v>332</v>
      </c>
      <c r="I2902"/>
    </row>
    <row r="2903" spans="1:9">
      <c r="A2903" t="s">
        <v>2860</v>
      </c>
      <c r="B2903" s="1" t="str">
        <f>"20827274"</f>
        <v>20827274</v>
      </c>
      <c r="C2903" t="s">
        <v>2861</v>
      </c>
      <c r="D2903" t="s">
        <v>2867</v>
      </c>
      <c r="E2903" s="2"/>
      <c r="F2903" t="s">
        <v>2737</v>
      </c>
      <c r="G2903" t="s">
        <v>25</v>
      </c>
      <c r="H2903" t="s">
        <v>25</v>
      </c>
      <c r="I2903"/>
    </row>
    <row r="2904" spans="1:9">
      <c r="A2904" t="s">
        <v>2860</v>
      </c>
      <c r="B2904" s="1" t="str">
        <f>"11090481"</f>
        <v>11090481</v>
      </c>
      <c r="C2904" t="s">
        <v>2861</v>
      </c>
      <c r="D2904" t="s">
        <v>2868</v>
      </c>
      <c r="E2904" s="2">
        <v>0.195</v>
      </c>
      <c r="F2904" t="s">
        <v>12</v>
      </c>
      <c r="G2904" t="s">
        <v>29</v>
      </c>
      <c r="H2904" t="s">
        <v>332</v>
      </c>
      <c r="I2904"/>
    </row>
    <row r="2905" spans="1:9">
      <c r="A2905" t="s">
        <v>2860</v>
      </c>
      <c r="B2905" s="1" t="str">
        <f>"11090493"</f>
        <v>11090493</v>
      </c>
      <c r="C2905" t="s">
        <v>2861</v>
      </c>
      <c r="D2905" t="s">
        <v>2869</v>
      </c>
      <c r="E2905" s="2">
        <v>0.195</v>
      </c>
      <c r="F2905" t="s">
        <v>12</v>
      </c>
      <c r="G2905" t="s">
        <v>29</v>
      </c>
      <c r="H2905" t="s">
        <v>332</v>
      </c>
      <c r="I2905"/>
    </row>
    <row r="2906" spans="1:9">
      <c r="A2906" t="s">
        <v>2860</v>
      </c>
      <c r="B2906" s="1" t="str">
        <f>"11090482"</f>
        <v>11090482</v>
      </c>
      <c r="C2906" t="s">
        <v>2861</v>
      </c>
      <c r="D2906" t="s">
        <v>2870</v>
      </c>
      <c r="E2906" s="2">
        <v>0.195</v>
      </c>
      <c r="F2906" t="s">
        <v>12</v>
      </c>
      <c r="G2906" t="s">
        <v>29</v>
      </c>
      <c r="H2906" t="s">
        <v>332</v>
      </c>
      <c r="I2906"/>
    </row>
    <row r="2907" spans="1:9">
      <c r="A2907" t="s">
        <v>2860</v>
      </c>
      <c r="B2907" s="1" t="str">
        <f>"11090483"</f>
        <v>11090483</v>
      </c>
      <c r="C2907" t="s">
        <v>2861</v>
      </c>
      <c r="D2907" t="s">
        <v>2871</v>
      </c>
      <c r="E2907" s="2">
        <v>0.2</v>
      </c>
      <c r="F2907" t="s">
        <v>12</v>
      </c>
      <c r="G2907" t="s">
        <v>29</v>
      </c>
      <c r="H2907" t="s">
        <v>332</v>
      </c>
      <c r="I2907"/>
    </row>
    <row r="2908" spans="1:9">
      <c r="A2908" t="s">
        <v>2860</v>
      </c>
      <c r="B2908" s="1" t="str">
        <f>"11090484"</f>
        <v>11090484</v>
      </c>
      <c r="C2908" t="s">
        <v>2861</v>
      </c>
      <c r="D2908" t="s">
        <v>2872</v>
      </c>
      <c r="E2908" s="2">
        <v>0.2</v>
      </c>
      <c r="F2908" t="s">
        <v>239</v>
      </c>
      <c r="G2908" t="s">
        <v>25</v>
      </c>
      <c r="H2908" t="s">
        <v>332</v>
      </c>
      <c r="I2908"/>
    </row>
    <row r="2909" spans="1:9">
      <c r="A2909" t="s">
        <v>2873</v>
      </c>
      <c r="B2909" s="1" t="str">
        <f>"11012308"</f>
        <v>11012308</v>
      </c>
      <c r="C2909" t="s">
        <v>2874</v>
      </c>
      <c r="D2909" t="s">
        <v>2875</v>
      </c>
      <c r="E2909" s="2">
        <v>0.18</v>
      </c>
      <c r="F2909" t="s">
        <v>12</v>
      </c>
      <c r="G2909" t="s">
        <v>29</v>
      </c>
      <c r="H2909" t="s">
        <v>332</v>
      </c>
      <c r="I2909"/>
    </row>
    <row r="2910" spans="1:9">
      <c r="A2910" t="s">
        <v>2873</v>
      </c>
      <c r="B2910" s="1" t="str">
        <f>"11012310"</f>
        <v>11012310</v>
      </c>
      <c r="C2910" t="s">
        <v>2874</v>
      </c>
      <c r="D2910" t="s">
        <v>2876</v>
      </c>
      <c r="E2910" s="2">
        <v>0.15</v>
      </c>
      <c r="F2910" t="s">
        <v>12</v>
      </c>
      <c r="G2910" t="s">
        <v>29</v>
      </c>
      <c r="H2910" t="s">
        <v>332</v>
      </c>
      <c r="I2910"/>
    </row>
    <row r="2911" spans="1:9">
      <c r="A2911" t="s">
        <v>2873</v>
      </c>
      <c r="B2911" s="1" t="str">
        <f>"11012314"</f>
        <v>11012314</v>
      </c>
      <c r="C2911" t="s">
        <v>2874</v>
      </c>
      <c r="D2911" t="s">
        <v>2877</v>
      </c>
      <c r="E2911" s="2">
        <v>0.15</v>
      </c>
      <c r="F2911" t="s">
        <v>12</v>
      </c>
      <c r="G2911" t="s">
        <v>25</v>
      </c>
      <c r="H2911" t="s">
        <v>332</v>
      </c>
      <c r="I2911"/>
    </row>
    <row r="2912" spans="1:9">
      <c r="A2912" t="s">
        <v>2873</v>
      </c>
      <c r="B2912" s="1" t="str">
        <f>"11110391"</f>
        <v>11110391</v>
      </c>
      <c r="C2912" t="s">
        <v>2874</v>
      </c>
      <c r="D2912" t="s">
        <v>2878</v>
      </c>
      <c r="E2912" s="2">
        <v>0.15</v>
      </c>
      <c r="F2912" t="s">
        <v>12</v>
      </c>
      <c r="G2912" t="s">
        <v>29</v>
      </c>
      <c r="H2912" t="s">
        <v>332</v>
      </c>
      <c r="I2912"/>
    </row>
    <row r="2913" spans="1:9">
      <c r="A2913" t="s">
        <v>2873</v>
      </c>
      <c r="B2913" s="1" t="str">
        <f>"11012321"</f>
        <v>11012321</v>
      </c>
      <c r="C2913" t="s">
        <v>2874</v>
      </c>
      <c r="D2913" t="s">
        <v>2879</v>
      </c>
      <c r="E2913" s="2">
        <v>0.144</v>
      </c>
      <c r="F2913" t="s">
        <v>239</v>
      </c>
      <c r="G2913" t="s">
        <v>29</v>
      </c>
      <c r="H2913" t="s">
        <v>332</v>
      </c>
      <c r="I2913"/>
    </row>
    <row r="2914" spans="1:9">
      <c r="A2914" t="s">
        <v>2873</v>
      </c>
      <c r="B2914" s="1" t="str">
        <f>"11012324"</f>
        <v>11012324</v>
      </c>
      <c r="C2914" t="s">
        <v>2874</v>
      </c>
      <c r="D2914" t="s">
        <v>2880</v>
      </c>
      <c r="E2914" s="2">
        <v>0.15</v>
      </c>
      <c r="F2914" t="s">
        <v>12</v>
      </c>
      <c r="G2914" t="s">
        <v>29</v>
      </c>
      <c r="H2914" t="s">
        <v>332</v>
      </c>
      <c r="I2914"/>
    </row>
    <row r="2915" spans="1:9">
      <c r="A2915" t="s">
        <v>2873</v>
      </c>
      <c r="B2915" s="1" t="str">
        <f>"11012313"</f>
        <v>11012313</v>
      </c>
      <c r="C2915" t="s">
        <v>2874</v>
      </c>
      <c r="D2915" t="s">
        <v>2881</v>
      </c>
      <c r="E2915" s="2">
        <v>0.15</v>
      </c>
      <c r="F2915" t="s">
        <v>12</v>
      </c>
      <c r="G2915" t="s">
        <v>29</v>
      </c>
      <c r="H2915" t="s">
        <v>332</v>
      </c>
      <c r="I2915"/>
    </row>
    <row r="2916" spans="1:9">
      <c r="A2916" t="s">
        <v>2873</v>
      </c>
      <c r="B2916" s="1" t="str">
        <f>"11012312"</f>
        <v>11012312</v>
      </c>
      <c r="C2916" t="s">
        <v>2874</v>
      </c>
      <c r="D2916" t="s">
        <v>2882</v>
      </c>
      <c r="E2916" s="2">
        <v>0.18</v>
      </c>
      <c r="F2916" t="s">
        <v>12</v>
      </c>
      <c r="G2916" t="s">
        <v>25</v>
      </c>
      <c r="H2916" t="s">
        <v>332</v>
      </c>
      <c r="I2916"/>
    </row>
    <row r="2917" spans="1:9">
      <c r="A2917" t="s">
        <v>2883</v>
      </c>
      <c r="B2917" s="1" t="str">
        <f>"12309780"</f>
        <v>12309780</v>
      </c>
      <c r="C2917" t="s">
        <v>260</v>
      </c>
      <c r="D2917" t="s">
        <v>2884</v>
      </c>
      <c r="E2917" s="2"/>
      <c r="F2917" t="s">
        <v>2413</v>
      </c>
      <c r="G2917" t="s">
        <v>2414</v>
      </c>
      <c r="H2917" t="s">
        <v>2414</v>
      </c>
      <c r="I2917"/>
    </row>
    <row r="2918" spans="1:9">
      <c r="A2918" t="s">
        <v>2883</v>
      </c>
      <c r="B2918" s="1" t="str">
        <f>"14014101"</f>
        <v>14014101</v>
      </c>
      <c r="C2918" t="s">
        <v>260</v>
      </c>
      <c r="D2918" t="s">
        <v>2885</v>
      </c>
      <c r="E2918" s="2"/>
      <c r="F2918"/>
      <c r="G2918" t="s">
        <v>2414</v>
      </c>
      <c r="H2918" t="s">
        <v>2414</v>
      </c>
      <c r="I2918"/>
    </row>
    <row r="2919" spans="1:9">
      <c r="A2919" t="s">
        <v>2883</v>
      </c>
      <c r="B2919" s="1" t="str">
        <f>"12002546"</f>
        <v>12002546</v>
      </c>
      <c r="C2919" t="s">
        <v>260</v>
      </c>
      <c r="D2919" t="s">
        <v>2886</v>
      </c>
      <c r="E2919" s="2"/>
      <c r="F2919" t="s">
        <v>2666</v>
      </c>
      <c r="G2919" t="s">
        <v>2414</v>
      </c>
      <c r="H2919" t="s">
        <v>2414</v>
      </c>
      <c r="I2919"/>
    </row>
    <row r="2920" spans="1:9">
      <c r="A2920" t="s">
        <v>2883</v>
      </c>
      <c r="B2920" s="1" t="str">
        <f>"12002525"</f>
        <v>12002525</v>
      </c>
      <c r="C2920" t="s">
        <v>260</v>
      </c>
      <c r="D2920" t="s">
        <v>2887</v>
      </c>
      <c r="E2920" s="2"/>
      <c r="F2920"/>
      <c r="G2920" t="s">
        <v>2414</v>
      </c>
      <c r="H2920" t="s">
        <v>2414</v>
      </c>
      <c r="I2920"/>
    </row>
    <row r="2921" spans="1:9">
      <c r="A2921" t="s">
        <v>2883</v>
      </c>
      <c r="B2921" s="1" t="str">
        <f>"12002548"</f>
        <v>12002548</v>
      </c>
      <c r="C2921" t="s">
        <v>260</v>
      </c>
      <c r="D2921" t="s">
        <v>2888</v>
      </c>
      <c r="E2921" s="2"/>
      <c r="F2921" t="s">
        <v>2666</v>
      </c>
      <c r="G2921" t="s">
        <v>2414</v>
      </c>
      <c r="H2921" t="s">
        <v>2414</v>
      </c>
      <c r="I2921"/>
    </row>
    <row r="2922" spans="1:9">
      <c r="A2922" t="s">
        <v>2883</v>
      </c>
      <c r="B2922" s="1" t="str">
        <f>"12002526"</f>
        <v>12002526</v>
      </c>
      <c r="C2922" t="s">
        <v>260</v>
      </c>
      <c r="D2922" t="s">
        <v>2889</v>
      </c>
      <c r="E2922" s="2"/>
      <c r="F2922"/>
      <c r="G2922" t="s">
        <v>2414</v>
      </c>
      <c r="H2922" t="s">
        <v>2414</v>
      </c>
      <c r="I2922"/>
    </row>
    <row r="2923" spans="1:9">
      <c r="A2923" t="s">
        <v>2883</v>
      </c>
      <c r="B2923" s="1" t="str">
        <f>"12002532"</f>
        <v>12002532</v>
      </c>
      <c r="C2923" t="s">
        <v>260</v>
      </c>
      <c r="D2923" t="s">
        <v>2890</v>
      </c>
      <c r="E2923" s="2"/>
      <c r="F2923" t="s">
        <v>2413</v>
      </c>
      <c r="G2923" t="s">
        <v>2414</v>
      </c>
      <c r="H2923" t="s">
        <v>2414</v>
      </c>
      <c r="I2923"/>
    </row>
    <row r="2924" spans="1:9">
      <c r="A2924" t="s">
        <v>2883</v>
      </c>
      <c r="B2924" s="1" t="str">
        <f>"14014120"</f>
        <v>14014120</v>
      </c>
      <c r="C2924" t="s">
        <v>260</v>
      </c>
      <c r="D2924" t="s">
        <v>2891</v>
      </c>
      <c r="E2924" s="2"/>
      <c r="F2924"/>
      <c r="G2924" t="s">
        <v>2414</v>
      </c>
      <c r="H2924" t="s">
        <v>2414</v>
      </c>
      <c r="I2924"/>
    </row>
    <row r="2925" spans="1:9">
      <c r="A2925" t="s">
        <v>2883</v>
      </c>
      <c r="B2925" s="1" t="str">
        <f>"12309780"</f>
        <v>12309780</v>
      </c>
      <c r="C2925" t="s">
        <v>260</v>
      </c>
      <c r="D2925" t="s">
        <v>2884</v>
      </c>
      <c r="E2925" s="2"/>
      <c r="F2925" t="s">
        <v>2413</v>
      </c>
      <c r="G2925" t="s">
        <v>2414</v>
      </c>
      <c r="H2925" t="s">
        <v>2414</v>
      </c>
      <c r="I2925"/>
    </row>
    <row r="2926" spans="1:9">
      <c r="A2926" t="s">
        <v>2883</v>
      </c>
      <c r="B2926" s="1" t="str">
        <f>"12016038"</f>
        <v>12016038</v>
      </c>
      <c r="C2926" t="s">
        <v>260</v>
      </c>
      <c r="D2926" t="s">
        <v>2892</v>
      </c>
      <c r="E2926" s="2"/>
      <c r="F2926"/>
      <c r="G2926" t="s">
        <v>2414</v>
      </c>
      <c r="H2926" t="s">
        <v>2414</v>
      </c>
      <c r="I2926"/>
    </row>
    <row r="2927" spans="1:9">
      <c r="A2927" t="s">
        <v>2883</v>
      </c>
      <c r="B2927" s="1" t="str">
        <f>"12027319"</f>
        <v>12027319</v>
      </c>
      <c r="C2927" t="s">
        <v>260</v>
      </c>
      <c r="D2927" t="s">
        <v>2893</v>
      </c>
      <c r="E2927" s="2"/>
      <c r="F2927"/>
      <c r="G2927" t="s">
        <v>2414</v>
      </c>
      <c r="H2927" t="s">
        <v>2414</v>
      </c>
      <c r="I2927"/>
    </row>
    <row r="2928" spans="1:9">
      <c r="A2928" t="s">
        <v>2883</v>
      </c>
      <c r="B2928" s="1" t="str">
        <f>"12016046"</f>
        <v>12016046</v>
      </c>
      <c r="C2928" t="s">
        <v>260</v>
      </c>
      <c r="D2928" t="s">
        <v>2894</v>
      </c>
      <c r="E2928" s="2"/>
      <c r="F2928" t="s">
        <v>2895</v>
      </c>
      <c r="G2928" t="s">
        <v>25</v>
      </c>
      <c r="H2928" t="s">
        <v>25</v>
      </c>
      <c r="I2928"/>
    </row>
    <row r="2929" spans="1:9">
      <c r="A2929" t="s">
        <v>2883</v>
      </c>
      <c r="B2929" s="1" t="str">
        <f>"12014122"</f>
        <v>12014122</v>
      </c>
      <c r="C2929" t="s">
        <v>260</v>
      </c>
      <c r="D2929" t="s">
        <v>2896</v>
      </c>
      <c r="E2929" s="2"/>
      <c r="F2929"/>
      <c r="G2929" t="s">
        <v>2414</v>
      </c>
      <c r="H2929" t="s">
        <v>2414</v>
      </c>
      <c r="I2929"/>
    </row>
    <row r="2930" spans="1:9">
      <c r="A2930" t="s">
        <v>2883</v>
      </c>
      <c r="B2930" s="1" t="str">
        <f>"12016049"</f>
        <v>12016049</v>
      </c>
      <c r="C2930" t="s">
        <v>260</v>
      </c>
      <c r="D2930" t="s">
        <v>2897</v>
      </c>
      <c r="E2930" s="2"/>
      <c r="F2930" t="s">
        <v>239</v>
      </c>
      <c r="G2930" t="s">
        <v>25</v>
      </c>
      <c r="H2930" t="s">
        <v>25</v>
      </c>
      <c r="I2930"/>
    </row>
    <row r="2931" spans="1:9">
      <c r="A2931" t="s">
        <v>2883</v>
      </c>
      <c r="B2931" s="1" t="str">
        <f>"12016047"</f>
        <v>12016047</v>
      </c>
      <c r="C2931" t="s">
        <v>260</v>
      </c>
      <c r="D2931" t="s">
        <v>2898</v>
      </c>
      <c r="E2931" s="2"/>
      <c r="F2931" t="s">
        <v>239</v>
      </c>
      <c r="G2931" t="s">
        <v>25</v>
      </c>
      <c r="H2931" t="s">
        <v>25</v>
      </c>
      <c r="I2931"/>
    </row>
    <row r="2932" spans="1:9">
      <c r="A2932" t="s">
        <v>2883</v>
      </c>
      <c r="B2932" s="1" t="str">
        <f>"12014052"</f>
        <v>12014052</v>
      </c>
      <c r="C2932" t="s">
        <v>260</v>
      </c>
      <c r="D2932" t="s">
        <v>2899</v>
      </c>
      <c r="E2932" s="2"/>
      <c r="F2932" t="s">
        <v>328</v>
      </c>
      <c r="G2932" t="s">
        <v>2414</v>
      </c>
      <c r="H2932" t="s">
        <v>2414</v>
      </c>
      <c r="I2932"/>
    </row>
    <row r="2933" spans="1:9">
      <c r="A2933" t="s">
        <v>2883</v>
      </c>
      <c r="B2933" s="1" t="str">
        <f>"20075844"</f>
        <v>20075844</v>
      </c>
      <c r="C2933" t="s">
        <v>2900</v>
      </c>
      <c r="D2933" t="s">
        <v>2901</v>
      </c>
      <c r="E2933" s="2"/>
      <c r="F2933" t="s">
        <v>239</v>
      </c>
      <c r="G2933" t="s">
        <v>25</v>
      </c>
      <c r="H2933" t="s">
        <v>25</v>
      </c>
      <c r="I2933"/>
    </row>
    <row r="2934" spans="1:9">
      <c r="A2934" t="s">
        <v>2883</v>
      </c>
      <c r="B2934" s="1" t="str">
        <f>"12014124"</f>
        <v>12014124</v>
      </c>
      <c r="C2934" t="s">
        <v>2902</v>
      </c>
      <c r="D2934" t="s">
        <v>2903</v>
      </c>
      <c r="E2934" s="2"/>
      <c r="F2934" t="s">
        <v>2413</v>
      </c>
      <c r="G2934" t="s">
        <v>2414</v>
      </c>
      <c r="H2934" t="s">
        <v>2414</v>
      </c>
      <c r="I2934"/>
    </row>
    <row r="2935" spans="1:9">
      <c r="A2935" t="s">
        <v>2883</v>
      </c>
      <c r="B2935" s="1" t="str">
        <f>"12014125"</f>
        <v>12014125</v>
      </c>
      <c r="C2935" t="s">
        <v>2902</v>
      </c>
      <c r="D2935" t="s">
        <v>2904</v>
      </c>
      <c r="E2935" s="2"/>
      <c r="F2935" t="s">
        <v>2413</v>
      </c>
      <c r="G2935" t="s">
        <v>2414</v>
      </c>
      <c r="H2935" t="s">
        <v>2414</v>
      </c>
      <c r="I2935"/>
    </row>
    <row r="2936" spans="1:9">
      <c r="A2936" t="s">
        <v>2883</v>
      </c>
      <c r="B2936" s="1" t="str">
        <f>"12014043"</f>
        <v>12014043</v>
      </c>
      <c r="C2936" t="s">
        <v>2902</v>
      </c>
      <c r="D2936" t="s">
        <v>2905</v>
      </c>
      <c r="E2936" s="2"/>
      <c r="F2936" t="s">
        <v>2906</v>
      </c>
      <c r="G2936" t="s">
        <v>25</v>
      </c>
      <c r="H2936" t="s">
        <v>2414</v>
      </c>
      <c r="I2936"/>
    </row>
    <row r="2937" spans="1:9">
      <c r="A2937" t="s">
        <v>2883</v>
      </c>
      <c r="B2937" s="1" t="str">
        <f>"20190023"</f>
        <v>20190023</v>
      </c>
      <c r="C2937" t="s">
        <v>2907</v>
      </c>
      <c r="D2937" t="s">
        <v>2908</v>
      </c>
      <c r="E2937" s="2"/>
      <c r="F2937" t="s">
        <v>2895</v>
      </c>
      <c r="G2937" t="s">
        <v>25</v>
      </c>
      <c r="H2937" t="s">
        <v>25</v>
      </c>
      <c r="I2937"/>
    </row>
    <row r="2938" spans="1:9">
      <c r="A2938" t="s">
        <v>2883</v>
      </c>
      <c r="B2938" s="1" t="str">
        <f>"12016048"</f>
        <v>12016048</v>
      </c>
      <c r="C2938" t="s">
        <v>2907</v>
      </c>
      <c r="D2938" t="s">
        <v>2909</v>
      </c>
      <c r="E2938" s="2"/>
      <c r="F2938" t="s">
        <v>2910</v>
      </c>
      <c r="G2938"/>
      <c r="H2938" t="s">
        <v>2414</v>
      </c>
      <c r="I2938"/>
    </row>
    <row r="2939" spans="1:9">
      <c r="A2939" t="s">
        <v>2911</v>
      </c>
      <c r="B2939" s="1" t="str">
        <f>"11010296"</f>
        <v>11010296</v>
      </c>
      <c r="C2939" t="s">
        <v>2912</v>
      </c>
      <c r="D2939" t="s">
        <v>2913</v>
      </c>
      <c r="E2939" s="2">
        <v>0.43</v>
      </c>
      <c r="F2939" t="s">
        <v>12</v>
      </c>
      <c r="G2939"/>
      <c r="H2939" t="s">
        <v>29</v>
      </c>
      <c r="I2939"/>
    </row>
    <row r="2940" spans="1:9">
      <c r="A2940" t="s">
        <v>2911</v>
      </c>
      <c r="B2940" s="1" t="str">
        <f>"11412117"</f>
        <v>11412117</v>
      </c>
      <c r="C2940" t="s">
        <v>2914</v>
      </c>
      <c r="D2940" t="s">
        <v>2915</v>
      </c>
      <c r="E2940" s="2">
        <v>0.5</v>
      </c>
      <c r="F2940" t="s">
        <v>12</v>
      </c>
      <c r="G2940" t="s">
        <v>29</v>
      </c>
      <c r="H2940" t="s">
        <v>332</v>
      </c>
      <c r="I2940"/>
    </row>
    <row r="2941" spans="1:9">
      <c r="A2941" t="s">
        <v>2911</v>
      </c>
      <c r="B2941" s="1" t="str">
        <f>"11010715"</f>
        <v>11010715</v>
      </c>
      <c r="C2941" t="s">
        <v>2914</v>
      </c>
      <c r="D2941" t="s">
        <v>2916</v>
      </c>
      <c r="E2941" s="2">
        <v>0.4</v>
      </c>
      <c r="F2941" t="s">
        <v>12</v>
      </c>
      <c r="G2941" t="s">
        <v>29</v>
      </c>
      <c r="H2941" t="s">
        <v>332</v>
      </c>
      <c r="I2941"/>
    </row>
    <row r="2942" spans="1:9">
      <c r="A2942" t="s">
        <v>2911</v>
      </c>
      <c r="B2942" s="1" t="str">
        <f>"11010716"</f>
        <v>11010716</v>
      </c>
      <c r="C2942" t="s">
        <v>2914</v>
      </c>
      <c r="D2942" t="s">
        <v>2916</v>
      </c>
      <c r="E2942" s="2">
        <v>0.4</v>
      </c>
      <c r="F2942" t="s">
        <v>2917</v>
      </c>
      <c r="G2942" t="s">
        <v>2918</v>
      </c>
      <c r="H2942" t="s">
        <v>2918</v>
      </c>
      <c r="I2942"/>
    </row>
    <row r="2943" spans="1:9">
      <c r="A2943" t="s">
        <v>2911</v>
      </c>
      <c r="B2943" s="1" t="str">
        <f>"11010717"</f>
        <v>11010717</v>
      </c>
      <c r="C2943" t="s">
        <v>2914</v>
      </c>
      <c r="D2943" t="s">
        <v>2916</v>
      </c>
      <c r="E2943" s="2">
        <v>0.4</v>
      </c>
      <c r="F2943" t="s">
        <v>2919</v>
      </c>
      <c r="G2943" t="s">
        <v>25</v>
      </c>
      <c r="H2943" t="s">
        <v>332</v>
      </c>
      <c r="I2943"/>
    </row>
    <row r="2944" spans="1:9">
      <c r="A2944" t="s">
        <v>2911</v>
      </c>
      <c r="B2944" s="1" t="str">
        <f>"11506006"</f>
        <v>11506006</v>
      </c>
      <c r="C2944" t="s">
        <v>2914</v>
      </c>
      <c r="D2944" t="s">
        <v>2920</v>
      </c>
      <c r="E2944" s="2">
        <v>0.4</v>
      </c>
      <c r="F2944" t="s">
        <v>12</v>
      </c>
      <c r="G2944" t="s">
        <v>29</v>
      </c>
      <c r="H2944" t="s">
        <v>332</v>
      </c>
      <c r="I2944"/>
    </row>
    <row r="2945" spans="1:9">
      <c r="A2945" t="s">
        <v>2911</v>
      </c>
      <c r="B2945" s="1" t="str">
        <f>"11412142"</f>
        <v>11412142</v>
      </c>
      <c r="C2945" t="s">
        <v>2914</v>
      </c>
      <c r="D2945" t="s">
        <v>2921</v>
      </c>
      <c r="E2945" s="2">
        <v>0.4</v>
      </c>
      <c r="F2945" t="s">
        <v>12</v>
      </c>
      <c r="G2945" t="s">
        <v>29</v>
      </c>
      <c r="H2945" t="s">
        <v>332</v>
      </c>
      <c r="I2945"/>
    </row>
    <row r="2946" spans="1:9">
      <c r="A2946" t="s">
        <v>2911</v>
      </c>
      <c r="B2946" s="1" t="str">
        <f>"11412138"</f>
        <v>11412138</v>
      </c>
      <c r="C2946" t="s">
        <v>2914</v>
      </c>
      <c r="D2946" t="s">
        <v>2922</v>
      </c>
      <c r="E2946" s="2">
        <v>0.4</v>
      </c>
      <c r="F2946" t="s">
        <v>12</v>
      </c>
      <c r="G2946" t="s">
        <v>29</v>
      </c>
      <c r="H2946" t="s">
        <v>332</v>
      </c>
      <c r="I2946"/>
    </row>
    <row r="2947" spans="1:9">
      <c r="A2947" t="s">
        <v>2911</v>
      </c>
      <c r="B2947" s="1" t="str">
        <f>"11412136"</f>
        <v>11412136</v>
      </c>
      <c r="C2947" t="s">
        <v>2914</v>
      </c>
      <c r="D2947" t="s">
        <v>2923</v>
      </c>
      <c r="E2947" s="2">
        <v>0.4</v>
      </c>
      <c r="F2947" t="s">
        <v>12</v>
      </c>
      <c r="G2947" t="s">
        <v>29</v>
      </c>
      <c r="H2947" t="s">
        <v>332</v>
      </c>
      <c r="I2947"/>
    </row>
    <row r="2948" spans="1:9">
      <c r="A2948" t="s">
        <v>2911</v>
      </c>
      <c r="B2948" s="1" t="str">
        <f>"11010738"</f>
        <v>11010738</v>
      </c>
      <c r="C2948" t="s">
        <v>2914</v>
      </c>
      <c r="D2948" t="s">
        <v>2924</v>
      </c>
      <c r="E2948" s="2">
        <v>0.4</v>
      </c>
      <c r="F2948" t="s">
        <v>12</v>
      </c>
      <c r="G2948" t="s">
        <v>25</v>
      </c>
      <c r="H2948" t="s">
        <v>332</v>
      </c>
      <c r="I2948"/>
    </row>
    <row r="2949" spans="1:9">
      <c r="A2949" t="s">
        <v>2911</v>
      </c>
      <c r="B2949" s="1" t="str">
        <f>"11010743"</f>
        <v>11010743</v>
      </c>
      <c r="C2949" t="s">
        <v>2914</v>
      </c>
      <c r="D2949" t="s">
        <v>2925</v>
      </c>
      <c r="E2949" s="2">
        <v>0.375</v>
      </c>
      <c r="F2949" t="s">
        <v>12</v>
      </c>
      <c r="G2949" t="s">
        <v>25</v>
      </c>
      <c r="H2949" t="s">
        <v>25</v>
      </c>
      <c r="I2949"/>
    </row>
    <row r="2950" spans="1:9">
      <c r="A2950" t="s">
        <v>2911</v>
      </c>
      <c r="B2950" s="1" t="str">
        <f>"11010750"</f>
        <v>11010750</v>
      </c>
      <c r="C2950" t="s">
        <v>2914</v>
      </c>
      <c r="D2950" t="s">
        <v>2926</v>
      </c>
      <c r="E2950" s="2">
        <v>0.4</v>
      </c>
      <c r="F2950" t="s">
        <v>12</v>
      </c>
      <c r="G2950" t="s">
        <v>29</v>
      </c>
      <c r="H2950" t="s">
        <v>332</v>
      </c>
      <c r="I2950"/>
    </row>
    <row r="2951" spans="1:9">
      <c r="A2951" t="s">
        <v>2911</v>
      </c>
      <c r="B2951" s="1" t="str">
        <f>"11010712"</f>
        <v>11010712</v>
      </c>
      <c r="C2951" t="s">
        <v>2914</v>
      </c>
      <c r="D2951" t="s">
        <v>2927</v>
      </c>
      <c r="E2951" s="2">
        <v>0.4</v>
      </c>
      <c r="F2951" t="s">
        <v>2737</v>
      </c>
      <c r="G2951" t="s">
        <v>25</v>
      </c>
      <c r="H2951" t="s">
        <v>332</v>
      </c>
      <c r="I2951"/>
    </row>
    <row r="2952" spans="1:9">
      <c r="A2952" t="s">
        <v>2911</v>
      </c>
      <c r="B2952" s="1" t="str">
        <f>"11020184"</f>
        <v>11020184</v>
      </c>
      <c r="C2952" t="s">
        <v>2914</v>
      </c>
      <c r="D2952" t="s">
        <v>2928</v>
      </c>
      <c r="E2952" s="2">
        <v>0.4</v>
      </c>
      <c r="F2952" t="s">
        <v>12</v>
      </c>
      <c r="G2952" t="s">
        <v>29</v>
      </c>
      <c r="H2952" t="s">
        <v>332</v>
      </c>
      <c r="I2952"/>
    </row>
    <row r="2953" spans="1:9">
      <c r="A2953" t="s">
        <v>2911</v>
      </c>
      <c r="B2953" s="1" t="str">
        <f>"11020183"</f>
        <v>11020183</v>
      </c>
      <c r="C2953" t="s">
        <v>2914</v>
      </c>
      <c r="D2953" t="s">
        <v>2929</v>
      </c>
      <c r="E2953" s="2">
        <v>0.4</v>
      </c>
      <c r="F2953" t="s">
        <v>12</v>
      </c>
      <c r="G2953" t="s">
        <v>29</v>
      </c>
      <c r="H2953" t="s">
        <v>332</v>
      </c>
      <c r="I2953"/>
    </row>
    <row r="2954" spans="1:9">
      <c r="A2954" t="s">
        <v>2911</v>
      </c>
      <c r="B2954" s="1" t="str">
        <f>"11735243"</f>
        <v>11735243</v>
      </c>
      <c r="C2954" t="s">
        <v>2914</v>
      </c>
      <c r="D2954" t="s">
        <v>2930</v>
      </c>
      <c r="E2954" s="2">
        <v>0.4</v>
      </c>
      <c r="F2954" t="s">
        <v>12</v>
      </c>
      <c r="G2954" t="s">
        <v>29</v>
      </c>
      <c r="H2954" t="s">
        <v>332</v>
      </c>
      <c r="I2954"/>
    </row>
    <row r="2955" spans="1:9">
      <c r="A2955" t="s">
        <v>2911</v>
      </c>
      <c r="B2955" s="1" t="str">
        <f>"11039064"</f>
        <v>11039064</v>
      </c>
      <c r="C2955" t="s">
        <v>2914</v>
      </c>
      <c r="D2955" t="s">
        <v>2931</v>
      </c>
      <c r="E2955" s="2">
        <v>0.4</v>
      </c>
      <c r="F2955" t="s">
        <v>12</v>
      </c>
      <c r="G2955" t="s">
        <v>29</v>
      </c>
      <c r="H2955" t="s">
        <v>332</v>
      </c>
      <c r="I2955"/>
    </row>
    <row r="2956" spans="1:9">
      <c r="A2956" t="s">
        <v>2911</v>
      </c>
      <c r="B2956" s="1" t="str">
        <f>"11090718"</f>
        <v>11090718</v>
      </c>
      <c r="C2956" t="s">
        <v>2914</v>
      </c>
      <c r="D2956" t="s">
        <v>2932</v>
      </c>
      <c r="E2956" s="2">
        <v>0.4</v>
      </c>
      <c r="F2956" t="s">
        <v>12</v>
      </c>
      <c r="G2956" t="s">
        <v>29</v>
      </c>
      <c r="H2956" t="s">
        <v>332</v>
      </c>
      <c r="I2956"/>
    </row>
    <row r="2957" spans="1:9">
      <c r="A2957" t="s">
        <v>2911</v>
      </c>
      <c r="B2957" s="1" t="str">
        <f>"11075572"</f>
        <v>11075572</v>
      </c>
      <c r="C2957" t="s">
        <v>2914</v>
      </c>
      <c r="D2957" t="s">
        <v>2933</v>
      </c>
      <c r="E2957" s="2">
        <v>0.5</v>
      </c>
      <c r="F2957" t="s">
        <v>12</v>
      </c>
      <c r="G2957" t="s">
        <v>29</v>
      </c>
      <c r="H2957" t="s">
        <v>332</v>
      </c>
      <c r="I2957"/>
    </row>
    <row r="2958" spans="1:9">
      <c r="A2958" t="s">
        <v>2911</v>
      </c>
      <c r="B2958" s="1" t="str">
        <f>"11075571"</f>
        <v>11075571</v>
      </c>
      <c r="C2958" t="s">
        <v>2914</v>
      </c>
      <c r="D2958" t="s">
        <v>2934</v>
      </c>
      <c r="E2958" s="2">
        <v>0.4</v>
      </c>
      <c r="F2958" t="s">
        <v>12</v>
      </c>
      <c r="G2958" t="s">
        <v>29</v>
      </c>
      <c r="H2958" t="s">
        <v>332</v>
      </c>
      <c r="I2958"/>
    </row>
    <row r="2959" spans="1:9">
      <c r="A2959" t="s">
        <v>2911</v>
      </c>
      <c r="B2959" s="1" t="str">
        <f>"11020185"</f>
        <v>11020185</v>
      </c>
      <c r="C2959" t="s">
        <v>2914</v>
      </c>
      <c r="D2959" t="s">
        <v>2935</v>
      </c>
      <c r="E2959" s="2">
        <v>0.505</v>
      </c>
      <c r="F2959" t="s">
        <v>12</v>
      </c>
      <c r="G2959" t="s">
        <v>29</v>
      </c>
      <c r="H2959" t="s">
        <v>332</v>
      </c>
      <c r="I2959"/>
    </row>
    <row r="2960" spans="1:9">
      <c r="A2960" t="s">
        <v>2911</v>
      </c>
      <c r="B2960" s="1" t="str">
        <f>"11010729"</f>
        <v>11010729</v>
      </c>
      <c r="C2960" t="s">
        <v>2914</v>
      </c>
      <c r="D2960" t="s">
        <v>2936</v>
      </c>
      <c r="E2960" s="2">
        <v>0.375</v>
      </c>
      <c r="F2960" t="s">
        <v>12</v>
      </c>
      <c r="G2960" t="s">
        <v>29</v>
      </c>
      <c r="H2960" t="s">
        <v>332</v>
      </c>
      <c r="I2960"/>
    </row>
    <row r="2961" spans="1:9">
      <c r="A2961" t="s">
        <v>2911</v>
      </c>
      <c r="B2961" s="1" t="str">
        <f>"11010730"</f>
        <v>11010730</v>
      </c>
      <c r="C2961" t="s">
        <v>2914</v>
      </c>
      <c r="D2961" t="s">
        <v>2937</v>
      </c>
      <c r="E2961" s="2">
        <v>0.375</v>
      </c>
      <c r="F2961" t="s">
        <v>12</v>
      </c>
      <c r="G2961" t="s">
        <v>29</v>
      </c>
      <c r="H2961" t="s">
        <v>332</v>
      </c>
      <c r="I2961"/>
    </row>
    <row r="2962" spans="1:9">
      <c r="A2962" t="s">
        <v>2911</v>
      </c>
      <c r="B2962" s="1" t="str">
        <f>"11010728"</f>
        <v>11010728</v>
      </c>
      <c r="C2962" t="s">
        <v>2914</v>
      </c>
      <c r="D2962" t="s">
        <v>2938</v>
      </c>
      <c r="E2962" s="2">
        <v>0.4</v>
      </c>
      <c r="F2962" t="s">
        <v>12</v>
      </c>
      <c r="G2962" t="s">
        <v>29</v>
      </c>
      <c r="H2962" t="s">
        <v>332</v>
      </c>
      <c r="I2962"/>
    </row>
    <row r="2963" spans="1:9">
      <c r="A2963" t="s">
        <v>2911</v>
      </c>
      <c r="B2963" s="1" t="str">
        <f>"11010734"</f>
        <v>11010734</v>
      </c>
      <c r="C2963" t="s">
        <v>2914</v>
      </c>
      <c r="D2963" t="s">
        <v>2939</v>
      </c>
      <c r="E2963" s="2">
        <v>0.4</v>
      </c>
      <c r="F2963" t="s">
        <v>12</v>
      </c>
      <c r="G2963" t="s">
        <v>25</v>
      </c>
      <c r="H2963" t="s">
        <v>25</v>
      </c>
      <c r="I2963"/>
    </row>
    <row r="2964" spans="1:9">
      <c r="A2964" t="s">
        <v>2911</v>
      </c>
      <c r="B2964" s="1" t="str">
        <f>"11010818"</f>
        <v>11010818</v>
      </c>
      <c r="C2964" t="s">
        <v>2914</v>
      </c>
      <c r="D2964" t="s">
        <v>2940</v>
      </c>
      <c r="E2964" s="2">
        <v>0.375</v>
      </c>
      <c r="F2964" t="s">
        <v>12</v>
      </c>
      <c r="G2964" t="s">
        <v>25</v>
      </c>
      <c r="H2964" t="s">
        <v>332</v>
      </c>
      <c r="I2964"/>
    </row>
    <row r="2965" spans="1:9">
      <c r="A2965" t="s">
        <v>2911</v>
      </c>
      <c r="B2965" s="1" t="str">
        <f>"11010806"</f>
        <v>11010806</v>
      </c>
      <c r="C2965" t="s">
        <v>2914</v>
      </c>
      <c r="D2965" t="s">
        <v>2941</v>
      </c>
      <c r="E2965" s="2">
        <v>0.38</v>
      </c>
      <c r="F2965" t="s">
        <v>12</v>
      </c>
      <c r="G2965" t="s">
        <v>25</v>
      </c>
      <c r="H2965" t="s">
        <v>332</v>
      </c>
      <c r="I2965"/>
    </row>
    <row r="2966" spans="1:9">
      <c r="A2966" t="s">
        <v>2911</v>
      </c>
      <c r="B2966" s="1" t="str">
        <f>"11010809"</f>
        <v>11010809</v>
      </c>
      <c r="C2966" t="s">
        <v>2914</v>
      </c>
      <c r="D2966" t="s">
        <v>2942</v>
      </c>
      <c r="E2966" s="2">
        <v>0.4</v>
      </c>
      <c r="F2966" t="s">
        <v>2737</v>
      </c>
      <c r="G2966" t="s">
        <v>25</v>
      </c>
      <c r="H2966" t="s">
        <v>332</v>
      </c>
      <c r="I2966"/>
    </row>
    <row r="2967" spans="1:9">
      <c r="A2967" t="s">
        <v>2911</v>
      </c>
      <c r="B2967" s="1" t="str">
        <f>"11010791"</f>
        <v>11010791</v>
      </c>
      <c r="C2967" t="s">
        <v>2914</v>
      </c>
      <c r="D2967" t="s">
        <v>2943</v>
      </c>
      <c r="E2967" s="2">
        <v>0.4</v>
      </c>
      <c r="F2967" t="s">
        <v>12</v>
      </c>
      <c r="G2967" t="s">
        <v>25</v>
      </c>
      <c r="H2967" t="s">
        <v>332</v>
      </c>
      <c r="I2967"/>
    </row>
    <row r="2968" spans="1:9">
      <c r="A2968" t="s">
        <v>2911</v>
      </c>
      <c r="B2968" s="1" t="str">
        <f>"11010208"</f>
        <v>11010208</v>
      </c>
      <c r="C2968" t="s">
        <v>2914</v>
      </c>
      <c r="D2968" t="s">
        <v>2944</v>
      </c>
      <c r="E2968" s="2">
        <v>0.4</v>
      </c>
      <c r="F2968" t="s">
        <v>12</v>
      </c>
      <c r="G2968" t="s">
        <v>29</v>
      </c>
      <c r="H2968" t="s">
        <v>332</v>
      </c>
      <c r="I2968"/>
    </row>
    <row r="2969" spans="1:9">
      <c r="A2969" t="s">
        <v>2911</v>
      </c>
      <c r="B2969" s="1" t="str">
        <f>"11010736"</f>
        <v>11010736</v>
      </c>
      <c r="C2969" t="s">
        <v>2914</v>
      </c>
      <c r="D2969" t="s">
        <v>2945</v>
      </c>
      <c r="E2969" s="2">
        <v>0.4</v>
      </c>
      <c r="F2969" t="s">
        <v>12</v>
      </c>
      <c r="G2969" t="s">
        <v>29</v>
      </c>
      <c r="H2969" t="s">
        <v>332</v>
      </c>
      <c r="I2969"/>
    </row>
    <row r="2970" spans="1:9">
      <c r="A2970" t="s">
        <v>2911</v>
      </c>
      <c r="B2970" s="1" t="str">
        <f>"11010748"</f>
        <v>11010748</v>
      </c>
      <c r="C2970" t="s">
        <v>2914</v>
      </c>
      <c r="D2970" t="s">
        <v>2946</v>
      </c>
      <c r="E2970" s="2">
        <v>0.375</v>
      </c>
      <c r="F2970" t="s">
        <v>2947</v>
      </c>
      <c r="G2970" t="s">
        <v>2948</v>
      </c>
      <c r="H2970" t="s">
        <v>332</v>
      </c>
      <c r="I2970"/>
    </row>
    <row r="2971" spans="1:9">
      <c r="A2971" t="s">
        <v>2911</v>
      </c>
      <c r="B2971" s="1" t="str">
        <f>"11010813"</f>
        <v>11010813</v>
      </c>
      <c r="C2971" t="s">
        <v>2914</v>
      </c>
      <c r="D2971" t="s">
        <v>2949</v>
      </c>
      <c r="E2971" s="2">
        <v>0.375</v>
      </c>
      <c r="F2971" t="s">
        <v>12</v>
      </c>
      <c r="G2971" t="s">
        <v>25</v>
      </c>
      <c r="H2971" t="s">
        <v>25</v>
      </c>
      <c r="I2971"/>
    </row>
    <row r="2972" spans="1:9">
      <c r="A2972" t="s">
        <v>2911</v>
      </c>
      <c r="B2972" s="1" t="str">
        <f>"11010790"</f>
        <v>11010790</v>
      </c>
      <c r="C2972" t="s">
        <v>2914</v>
      </c>
      <c r="D2972" t="s">
        <v>2950</v>
      </c>
      <c r="E2972" s="2">
        <v>0.175</v>
      </c>
      <c r="F2972" t="s">
        <v>2737</v>
      </c>
      <c r="G2972" t="s">
        <v>25</v>
      </c>
      <c r="H2972" t="s">
        <v>332</v>
      </c>
      <c r="I2972"/>
    </row>
    <row r="2973" spans="1:9">
      <c r="A2973" t="s">
        <v>2911</v>
      </c>
      <c r="B2973" s="1" t="str">
        <f>"11010789"</f>
        <v>11010789</v>
      </c>
      <c r="C2973" t="s">
        <v>2914</v>
      </c>
      <c r="D2973" t="s">
        <v>2951</v>
      </c>
      <c r="E2973" s="2">
        <v>0.175</v>
      </c>
      <c r="F2973" t="s">
        <v>12</v>
      </c>
      <c r="G2973" t="s">
        <v>25</v>
      </c>
      <c r="H2973" t="s">
        <v>332</v>
      </c>
      <c r="I2973"/>
    </row>
    <row r="2974" spans="1:9">
      <c r="A2974" t="s">
        <v>2911</v>
      </c>
      <c r="B2974" s="1" t="str">
        <f>"11010195"</f>
        <v>11010195</v>
      </c>
      <c r="C2974" t="s">
        <v>2914</v>
      </c>
      <c r="D2974" t="s">
        <v>2952</v>
      </c>
      <c r="E2974" s="2">
        <v>0.4</v>
      </c>
      <c r="F2974" t="s">
        <v>2737</v>
      </c>
      <c r="G2974" t="s">
        <v>25</v>
      </c>
      <c r="H2974" t="s">
        <v>332</v>
      </c>
      <c r="I2974"/>
    </row>
    <row r="2975" spans="1:9">
      <c r="A2975" t="s">
        <v>2911</v>
      </c>
      <c r="B2975" s="1" t="str">
        <f>"11010732"</f>
        <v>11010732</v>
      </c>
      <c r="C2975" t="s">
        <v>2914</v>
      </c>
      <c r="D2975" t="s">
        <v>2953</v>
      </c>
      <c r="E2975" s="2">
        <v>0.7</v>
      </c>
      <c r="F2975" t="s">
        <v>2666</v>
      </c>
      <c r="G2975" t="s">
        <v>25</v>
      </c>
      <c r="H2975" t="s">
        <v>25</v>
      </c>
      <c r="I2975"/>
    </row>
    <row r="2976" spans="1:9">
      <c r="A2976" t="s">
        <v>2911</v>
      </c>
      <c r="B2976" s="1" t="str">
        <f>"11010742"</f>
        <v>11010742</v>
      </c>
      <c r="C2976" t="s">
        <v>2914</v>
      </c>
      <c r="D2976" t="s">
        <v>2953</v>
      </c>
      <c r="E2976" s="2">
        <v>0.4</v>
      </c>
      <c r="F2976" t="s">
        <v>12</v>
      </c>
      <c r="G2976" t="s">
        <v>25</v>
      </c>
      <c r="H2976" t="s">
        <v>25</v>
      </c>
      <c r="I2976"/>
    </row>
    <row r="2977" spans="1:9">
      <c r="A2977" t="s">
        <v>2911</v>
      </c>
      <c r="B2977" s="1" t="str">
        <f>"11010758"</f>
        <v>11010758</v>
      </c>
      <c r="C2977" t="s">
        <v>2914</v>
      </c>
      <c r="D2977" t="s">
        <v>2954</v>
      </c>
      <c r="E2977" s="2">
        <v>0.4</v>
      </c>
      <c r="F2977" t="s">
        <v>12</v>
      </c>
      <c r="G2977" t="s">
        <v>25</v>
      </c>
      <c r="H2977" t="s">
        <v>332</v>
      </c>
      <c r="I2977"/>
    </row>
    <row r="2978" spans="1:9">
      <c r="A2978" t="s">
        <v>2911</v>
      </c>
      <c r="B2978" s="1" t="str">
        <f>"11010739"</f>
        <v>11010739</v>
      </c>
      <c r="C2978" t="s">
        <v>2914</v>
      </c>
      <c r="D2978" t="s">
        <v>2955</v>
      </c>
      <c r="E2978" s="2">
        <v>0.4</v>
      </c>
      <c r="F2978" t="s">
        <v>12</v>
      </c>
      <c r="G2978" t="s">
        <v>25</v>
      </c>
      <c r="H2978" t="s">
        <v>332</v>
      </c>
      <c r="I2978"/>
    </row>
    <row r="2979" spans="1:9">
      <c r="A2979" t="s">
        <v>2911</v>
      </c>
      <c r="B2979" s="1" t="str">
        <f>"11010721"</f>
        <v>11010721</v>
      </c>
      <c r="C2979" t="s">
        <v>2914</v>
      </c>
      <c r="D2979" t="s">
        <v>2956</v>
      </c>
      <c r="E2979" s="2">
        <v>0.5</v>
      </c>
      <c r="F2979" t="s">
        <v>12</v>
      </c>
      <c r="G2979" t="s">
        <v>29</v>
      </c>
      <c r="H2979" t="s">
        <v>332</v>
      </c>
      <c r="I2979"/>
    </row>
    <row r="2980" spans="1:9">
      <c r="A2980" t="s">
        <v>2911</v>
      </c>
      <c r="B2980" s="1" t="str">
        <f>"11010724"</f>
        <v>11010724</v>
      </c>
      <c r="C2980" t="s">
        <v>2914</v>
      </c>
      <c r="D2980" t="s">
        <v>2957</v>
      </c>
      <c r="E2980" s="2">
        <v>0.375</v>
      </c>
      <c r="F2980" t="s">
        <v>12</v>
      </c>
      <c r="G2980" t="s">
        <v>25</v>
      </c>
      <c r="H2980" t="s">
        <v>332</v>
      </c>
      <c r="I2980"/>
    </row>
    <row r="2981" spans="1:9">
      <c r="A2981" t="s">
        <v>2911</v>
      </c>
      <c r="B2981" s="1" t="str">
        <f>"11010762"</f>
        <v>11010762</v>
      </c>
      <c r="C2981" t="s">
        <v>2914</v>
      </c>
      <c r="D2981" t="s">
        <v>2957</v>
      </c>
      <c r="E2981" s="2">
        <v>0.375</v>
      </c>
      <c r="F2981" t="s">
        <v>2917</v>
      </c>
      <c r="G2981" t="s">
        <v>1463</v>
      </c>
      <c r="H2981" t="s">
        <v>1463</v>
      </c>
      <c r="I2981"/>
    </row>
    <row r="2982" spans="1:9">
      <c r="A2982" t="s">
        <v>2911</v>
      </c>
      <c r="B2982" s="1" t="str">
        <f>"11010816"</f>
        <v>11010816</v>
      </c>
      <c r="C2982" t="s">
        <v>2914</v>
      </c>
      <c r="D2982" t="s">
        <v>2958</v>
      </c>
      <c r="E2982" s="2">
        <v>0.4</v>
      </c>
      <c r="F2982" t="s">
        <v>2737</v>
      </c>
      <c r="G2982" t="s">
        <v>29</v>
      </c>
      <c r="H2982" t="s">
        <v>332</v>
      </c>
      <c r="I2982"/>
    </row>
    <row r="2983" spans="1:9">
      <c r="A2983" t="s">
        <v>2911</v>
      </c>
      <c r="B2983" s="1" t="str">
        <f>"11010176"</f>
        <v>11010176</v>
      </c>
      <c r="C2983" t="s">
        <v>2914</v>
      </c>
      <c r="D2983" t="s">
        <v>2959</v>
      </c>
      <c r="E2983" s="2">
        <v>0.375</v>
      </c>
      <c r="F2983" t="s">
        <v>12</v>
      </c>
      <c r="G2983" t="s">
        <v>25</v>
      </c>
      <c r="H2983" t="s">
        <v>332</v>
      </c>
      <c r="I2983"/>
    </row>
    <row r="2984" spans="1:9">
      <c r="A2984" t="s">
        <v>2911</v>
      </c>
      <c r="B2984" s="1" t="str">
        <f>"11010788"</f>
        <v>11010788</v>
      </c>
      <c r="C2984" t="s">
        <v>2914</v>
      </c>
      <c r="D2984" t="s">
        <v>2960</v>
      </c>
      <c r="E2984" s="2">
        <v>0.375</v>
      </c>
      <c r="F2984" t="s">
        <v>12</v>
      </c>
      <c r="G2984" t="s">
        <v>25</v>
      </c>
      <c r="H2984" t="s">
        <v>332</v>
      </c>
      <c r="I2984"/>
    </row>
    <row r="2985" spans="1:9">
      <c r="A2985" t="s">
        <v>2961</v>
      </c>
      <c r="B2985" s="1" t="str">
        <f>"11010295"</f>
        <v>11010295</v>
      </c>
      <c r="C2985" t="s">
        <v>2912</v>
      </c>
      <c r="D2985" t="s">
        <v>2962</v>
      </c>
      <c r="E2985" s="2">
        <v>0.43</v>
      </c>
      <c r="F2985" t="s">
        <v>12</v>
      </c>
      <c r="G2985"/>
      <c r="H2985" t="s">
        <v>29</v>
      </c>
      <c r="I2985"/>
    </row>
    <row r="2986" spans="1:9">
      <c r="A2986" t="s">
        <v>2961</v>
      </c>
      <c r="B2986" s="1" t="str">
        <f>"11011478"</f>
        <v>11011478</v>
      </c>
      <c r="C2986" t="s">
        <v>2963</v>
      </c>
      <c r="D2986" t="s">
        <v>2964</v>
      </c>
      <c r="E2986" s="2">
        <v>0.4</v>
      </c>
      <c r="F2986" t="s">
        <v>2737</v>
      </c>
      <c r="G2986" t="s">
        <v>25</v>
      </c>
      <c r="H2986" t="s">
        <v>332</v>
      </c>
      <c r="I2986"/>
    </row>
    <row r="2987" spans="1:9">
      <c r="A2987" t="s">
        <v>2961</v>
      </c>
      <c r="B2987" s="1" t="str">
        <f>"11011169"</f>
        <v>11011169</v>
      </c>
      <c r="C2987" t="s">
        <v>2963</v>
      </c>
      <c r="D2987" t="s">
        <v>2965</v>
      </c>
      <c r="E2987" s="2">
        <v>0.43</v>
      </c>
      <c r="F2987" t="s">
        <v>2737</v>
      </c>
      <c r="G2987" t="s">
        <v>2778</v>
      </c>
      <c r="H2987" t="s">
        <v>332</v>
      </c>
      <c r="I2987"/>
    </row>
    <row r="2988" spans="1:9">
      <c r="A2988" t="s">
        <v>2961</v>
      </c>
      <c r="B2988" s="1" t="str">
        <f>"11010329"</f>
        <v>11010329</v>
      </c>
      <c r="C2988" t="s">
        <v>2963</v>
      </c>
      <c r="D2988" t="s">
        <v>2966</v>
      </c>
      <c r="E2988" s="2">
        <v>0.4</v>
      </c>
      <c r="F2988" t="s">
        <v>24</v>
      </c>
      <c r="G2988" t="s">
        <v>25</v>
      </c>
      <c r="H2988" t="s">
        <v>332</v>
      </c>
      <c r="I2988"/>
    </row>
    <row r="2989" spans="1:9">
      <c r="A2989" t="s">
        <v>2961</v>
      </c>
      <c r="B2989" s="1" t="str">
        <f>"11010184"</f>
        <v>11010184</v>
      </c>
      <c r="C2989" t="s">
        <v>2963</v>
      </c>
      <c r="D2989" t="s">
        <v>2967</v>
      </c>
      <c r="E2989" s="2">
        <v>0.4</v>
      </c>
      <c r="F2989" t="s">
        <v>2737</v>
      </c>
      <c r="G2989" t="s">
        <v>25</v>
      </c>
      <c r="H2989" t="s">
        <v>332</v>
      </c>
      <c r="I2989"/>
    </row>
    <row r="2990" spans="1:9">
      <c r="A2990" t="s">
        <v>2961</v>
      </c>
      <c r="B2990" s="1" t="str">
        <f>"11798732"</f>
        <v>11798732</v>
      </c>
      <c r="C2990" t="s">
        <v>2963</v>
      </c>
      <c r="D2990" t="s">
        <v>2968</v>
      </c>
      <c r="E2990" s="2">
        <v>0.4</v>
      </c>
      <c r="F2990" t="s">
        <v>2737</v>
      </c>
      <c r="G2990" t="s">
        <v>25</v>
      </c>
      <c r="H2990" t="s">
        <v>332</v>
      </c>
      <c r="I2990"/>
    </row>
    <row r="2991" spans="1:9">
      <c r="A2991" t="s">
        <v>2961</v>
      </c>
      <c r="B2991" s="1" t="str">
        <f>"11011413"</f>
        <v>11011413</v>
      </c>
      <c r="C2991" t="s">
        <v>2963</v>
      </c>
      <c r="D2991" t="s">
        <v>2969</v>
      </c>
      <c r="E2991" s="2">
        <v>0.4</v>
      </c>
      <c r="F2991" t="s">
        <v>12</v>
      </c>
      <c r="G2991" t="s">
        <v>25</v>
      </c>
      <c r="H2991" t="s">
        <v>332</v>
      </c>
      <c r="I2991"/>
    </row>
    <row r="2992" spans="1:9">
      <c r="A2992" t="s">
        <v>2961</v>
      </c>
      <c r="B2992" s="1" t="str">
        <f>"11010281"</f>
        <v>11010281</v>
      </c>
      <c r="C2992" t="s">
        <v>2963</v>
      </c>
      <c r="D2992" t="s">
        <v>2970</v>
      </c>
      <c r="E2992" s="2">
        <v>0.4</v>
      </c>
      <c r="F2992" t="s">
        <v>2737</v>
      </c>
      <c r="G2992" t="s">
        <v>29</v>
      </c>
      <c r="H2992" t="s">
        <v>332</v>
      </c>
      <c r="I2992"/>
    </row>
    <row r="2993" spans="1:9">
      <c r="A2993" t="s">
        <v>2961</v>
      </c>
      <c r="B2993" s="1" t="str">
        <f>"11411221"</f>
        <v>11411221</v>
      </c>
      <c r="C2993" t="s">
        <v>2963</v>
      </c>
      <c r="D2993" t="s">
        <v>2971</v>
      </c>
      <c r="E2993" s="2">
        <v>0.46</v>
      </c>
      <c r="F2993" t="s">
        <v>2737</v>
      </c>
      <c r="G2993" t="s">
        <v>25</v>
      </c>
      <c r="H2993" t="s">
        <v>332</v>
      </c>
      <c r="I2993"/>
    </row>
    <row r="2994" spans="1:9">
      <c r="A2994" t="s">
        <v>2961</v>
      </c>
      <c r="B2994" s="1" t="str">
        <f>"11011453"</f>
        <v>11011453</v>
      </c>
      <c r="C2994" t="s">
        <v>2963</v>
      </c>
      <c r="D2994" t="s">
        <v>2972</v>
      </c>
      <c r="E2994" s="2">
        <v>0.4</v>
      </c>
      <c r="F2994" t="s">
        <v>12</v>
      </c>
      <c r="G2994" t="s">
        <v>29</v>
      </c>
      <c r="H2994" t="s">
        <v>25</v>
      </c>
      <c r="I2994"/>
    </row>
    <row r="2995" spans="1:9">
      <c r="A2995" t="s">
        <v>2961</v>
      </c>
      <c r="B2995" s="1" t="str">
        <f>"11011530"</f>
        <v>11011530</v>
      </c>
      <c r="C2995" t="s">
        <v>2963</v>
      </c>
      <c r="D2995" t="s">
        <v>2973</v>
      </c>
      <c r="E2995" s="2">
        <v>0.4</v>
      </c>
      <c r="F2995" t="s">
        <v>2737</v>
      </c>
      <c r="G2995" t="s">
        <v>25</v>
      </c>
      <c r="H2995" t="s">
        <v>332</v>
      </c>
      <c r="I2995"/>
    </row>
    <row r="2996" spans="1:9">
      <c r="A2996" t="s">
        <v>2961</v>
      </c>
      <c r="B2996" s="1" t="str">
        <f>"11010214"</f>
        <v>11010214</v>
      </c>
      <c r="C2996" t="s">
        <v>2963</v>
      </c>
      <c r="D2996" t="s">
        <v>2974</v>
      </c>
      <c r="E2996" s="2">
        <v>0.45</v>
      </c>
      <c r="F2996" t="s">
        <v>12</v>
      </c>
      <c r="G2996" t="s">
        <v>25</v>
      </c>
      <c r="H2996" t="s">
        <v>332</v>
      </c>
      <c r="I2996"/>
    </row>
    <row r="2997" spans="1:9">
      <c r="A2997" t="s">
        <v>2961</v>
      </c>
      <c r="B2997" s="1" t="str">
        <f>"11011526"</f>
        <v>11011526</v>
      </c>
      <c r="C2997" t="s">
        <v>2963</v>
      </c>
      <c r="D2997" t="s">
        <v>2975</v>
      </c>
      <c r="E2997" s="2">
        <v>0.463</v>
      </c>
      <c r="F2997" t="s">
        <v>2737</v>
      </c>
      <c r="G2997" t="s">
        <v>25</v>
      </c>
      <c r="H2997" t="s">
        <v>332</v>
      </c>
      <c r="I2997"/>
    </row>
    <row r="2998" spans="1:9">
      <c r="A2998" t="s">
        <v>2961</v>
      </c>
      <c r="B2998" s="1" t="str">
        <f>"11011553"</f>
        <v>11011553</v>
      </c>
      <c r="C2998" t="s">
        <v>2963</v>
      </c>
      <c r="D2998" t="s">
        <v>2976</v>
      </c>
      <c r="E2998" s="2">
        <v>0.463</v>
      </c>
      <c r="F2998"/>
      <c r="G2998" t="s">
        <v>2780</v>
      </c>
      <c r="H2998" t="s">
        <v>332</v>
      </c>
      <c r="I2998"/>
    </row>
    <row r="2999" spans="1:9">
      <c r="A2999" t="s">
        <v>2961</v>
      </c>
      <c r="B2999" s="1" t="str">
        <f>"11011554"</f>
        <v>11011554</v>
      </c>
      <c r="C2999" t="s">
        <v>2963</v>
      </c>
      <c r="D2999" t="s">
        <v>2977</v>
      </c>
      <c r="E2999" s="2">
        <v>0.463</v>
      </c>
      <c r="F2999" t="s">
        <v>2737</v>
      </c>
      <c r="G2999" t="s">
        <v>2780</v>
      </c>
      <c r="H2999" t="s">
        <v>332</v>
      </c>
      <c r="I2999"/>
    </row>
    <row r="3000" spans="1:9">
      <c r="A3000" t="s">
        <v>2961</v>
      </c>
      <c r="B3000" s="1" t="str">
        <f>"11011518"</f>
        <v>11011518</v>
      </c>
      <c r="C3000" t="s">
        <v>2963</v>
      </c>
      <c r="D3000" t="s">
        <v>2978</v>
      </c>
      <c r="E3000" s="2">
        <v>0.463</v>
      </c>
      <c r="F3000" t="s">
        <v>12</v>
      </c>
      <c r="G3000" t="s">
        <v>25</v>
      </c>
      <c r="H3000" t="s">
        <v>332</v>
      </c>
      <c r="I3000"/>
    </row>
    <row r="3001" spans="1:9">
      <c r="A3001" t="s">
        <v>2961</v>
      </c>
      <c r="B3001" s="1" t="str">
        <f>"11011555"</f>
        <v>11011555</v>
      </c>
      <c r="C3001" t="s">
        <v>2963</v>
      </c>
      <c r="D3001" t="s">
        <v>2979</v>
      </c>
      <c r="E3001" s="2">
        <v>0.463</v>
      </c>
      <c r="F3001" t="s">
        <v>2737</v>
      </c>
      <c r="G3001" t="s">
        <v>2780</v>
      </c>
      <c r="H3001" t="s">
        <v>332</v>
      </c>
      <c r="I3001"/>
    </row>
    <row r="3002" spans="1:9">
      <c r="A3002" t="s">
        <v>2961</v>
      </c>
      <c r="B3002" s="1" t="str">
        <f>"11011920"</f>
        <v>11011920</v>
      </c>
      <c r="C3002" t="s">
        <v>2963</v>
      </c>
      <c r="D3002" t="s">
        <v>2980</v>
      </c>
      <c r="E3002" s="2">
        <v>0.4</v>
      </c>
      <c r="F3002" t="s">
        <v>12</v>
      </c>
      <c r="G3002" t="s">
        <v>29</v>
      </c>
      <c r="H3002" t="s">
        <v>332</v>
      </c>
      <c r="I3002"/>
    </row>
    <row r="3003" spans="1:9">
      <c r="A3003" t="s">
        <v>2961</v>
      </c>
      <c r="B3003" s="1" t="str">
        <f>"11011924"</f>
        <v>11011924</v>
      </c>
      <c r="C3003" t="s">
        <v>2963</v>
      </c>
      <c r="D3003" t="s">
        <v>2981</v>
      </c>
      <c r="E3003" s="2">
        <v>0.4</v>
      </c>
      <c r="F3003" t="s">
        <v>2737</v>
      </c>
      <c r="G3003" t="s">
        <v>25</v>
      </c>
      <c r="H3003" t="s">
        <v>332</v>
      </c>
      <c r="I3003"/>
    </row>
    <row r="3004" spans="1:9">
      <c r="A3004" t="s">
        <v>2961</v>
      </c>
      <c r="B3004" s="1" t="str">
        <f>"11011512"</f>
        <v>11011512</v>
      </c>
      <c r="C3004" t="s">
        <v>2963</v>
      </c>
      <c r="D3004" t="s">
        <v>2982</v>
      </c>
      <c r="E3004" s="2">
        <v>0.4</v>
      </c>
      <c r="F3004" t="s">
        <v>2737</v>
      </c>
      <c r="G3004" t="s">
        <v>29</v>
      </c>
      <c r="H3004" t="s">
        <v>332</v>
      </c>
      <c r="I3004"/>
    </row>
    <row r="3005" spans="1:9">
      <c r="A3005" t="s">
        <v>2961</v>
      </c>
      <c r="B3005" s="1" t="str">
        <f>"11011477"</f>
        <v>11011477</v>
      </c>
      <c r="C3005" t="s">
        <v>2963</v>
      </c>
      <c r="D3005" t="s">
        <v>2983</v>
      </c>
      <c r="E3005" s="2">
        <v>0.43</v>
      </c>
      <c r="F3005" t="s">
        <v>2737</v>
      </c>
      <c r="G3005" t="s">
        <v>25</v>
      </c>
      <c r="H3005" t="s">
        <v>332</v>
      </c>
      <c r="I3005"/>
    </row>
    <row r="3006" spans="1:9">
      <c r="A3006" t="s">
        <v>2961</v>
      </c>
      <c r="B3006" s="1" t="str">
        <f>"11010185"</f>
        <v>11010185</v>
      </c>
      <c r="C3006" t="s">
        <v>2963</v>
      </c>
      <c r="D3006" t="s">
        <v>2984</v>
      </c>
      <c r="E3006" s="2">
        <v>0.4</v>
      </c>
      <c r="F3006" t="s">
        <v>2737</v>
      </c>
      <c r="G3006" t="s">
        <v>25</v>
      </c>
      <c r="H3006" t="s">
        <v>332</v>
      </c>
      <c r="I3006"/>
    </row>
    <row r="3007" spans="1:9">
      <c r="A3007" t="s">
        <v>2961</v>
      </c>
      <c r="B3007" s="1" t="str">
        <f>"11011449"</f>
        <v>11011449</v>
      </c>
      <c r="C3007" t="s">
        <v>2963</v>
      </c>
      <c r="D3007" t="s">
        <v>2985</v>
      </c>
      <c r="E3007" s="2">
        <v>0.4</v>
      </c>
      <c r="F3007" t="s">
        <v>12</v>
      </c>
      <c r="G3007" t="s">
        <v>29</v>
      </c>
      <c r="H3007" t="s">
        <v>332</v>
      </c>
      <c r="I3007"/>
    </row>
    <row r="3008" spans="1:9">
      <c r="A3008" t="s">
        <v>2961</v>
      </c>
      <c r="B3008" s="1" t="str">
        <f>"11051124"</f>
        <v>11051124</v>
      </c>
      <c r="C3008" t="s">
        <v>2963</v>
      </c>
      <c r="D3008" t="s">
        <v>2986</v>
      </c>
      <c r="E3008" s="2">
        <v>0.43</v>
      </c>
      <c r="F3008" t="s">
        <v>2737</v>
      </c>
      <c r="G3008" t="s">
        <v>25</v>
      </c>
      <c r="H3008" t="s">
        <v>332</v>
      </c>
      <c r="I3008"/>
    </row>
    <row r="3009" spans="1:9">
      <c r="A3009" t="s">
        <v>2961</v>
      </c>
      <c r="B3009" s="1" t="str">
        <f>"11051125"</f>
        <v>11051125</v>
      </c>
      <c r="C3009" t="s">
        <v>2963</v>
      </c>
      <c r="D3009" t="s">
        <v>2987</v>
      </c>
      <c r="E3009" s="2">
        <v>0.43</v>
      </c>
      <c r="F3009" t="s">
        <v>2737</v>
      </c>
      <c r="G3009" t="s">
        <v>25</v>
      </c>
      <c r="H3009" t="s">
        <v>332</v>
      </c>
      <c r="I3009"/>
    </row>
    <row r="3010" spans="1:9">
      <c r="A3010" t="s">
        <v>2961</v>
      </c>
      <c r="B3010" s="1" t="str">
        <f>"11011491"</f>
        <v>11011491</v>
      </c>
      <c r="C3010" t="s">
        <v>2963</v>
      </c>
      <c r="D3010" t="s">
        <v>2988</v>
      </c>
      <c r="E3010" s="2">
        <v>0.4</v>
      </c>
      <c r="F3010" t="s">
        <v>12</v>
      </c>
      <c r="G3010" t="s">
        <v>29</v>
      </c>
      <c r="H3010" t="s">
        <v>332</v>
      </c>
      <c r="I3010"/>
    </row>
    <row r="3011" spans="1:9">
      <c r="A3011" t="s">
        <v>2961</v>
      </c>
      <c r="B3011" s="1" t="str">
        <f>"11011525"</f>
        <v>11011525</v>
      </c>
      <c r="C3011" t="s">
        <v>2963</v>
      </c>
      <c r="D3011" t="s">
        <v>2989</v>
      </c>
      <c r="E3011" s="2">
        <v>0.4</v>
      </c>
      <c r="F3011" t="s">
        <v>2737</v>
      </c>
      <c r="G3011" t="s">
        <v>29</v>
      </c>
      <c r="H3011" t="s">
        <v>332</v>
      </c>
      <c r="I3011"/>
    </row>
    <row r="3012" spans="1:9">
      <c r="A3012" t="s">
        <v>2961</v>
      </c>
      <c r="B3012" s="1" t="str">
        <f>"11011524"</f>
        <v>11011524</v>
      </c>
      <c r="C3012" t="s">
        <v>2963</v>
      </c>
      <c r="D3012" t="s">
        <v>2990</v>
      </c>
      <c r="E3012" s="2">
        <v>0.4</v>
      </c>
      <c r="F3012" t="s">
        <v>2737</v>
      </c>
      <c r="G3012" t="s">
        <v>29</v>
      </c>
      <c r="H3012" t="s">
        <v>332</v>
      </c>
      <c r="I3012"/>
    </row>
    <row r="3013" spans="1:9">
      <c r="A3013" t="s">
        <v>2961</v>
      </c>
      <c r="B3013" s="1" t="str">
        <f>"11012641"</f>
        <v>11012641</v>
      </c>
      <c r="C3013" t="s">
        <v>2963</v>
      </c>
      <c r="D3013" t="s">
        <v>2991</v>
      </c>
      <c r="E3013" s="2">
        <v>0.4</v>
      </c>
      <c r="F3013" t="s">
        <v>12</v>
      </c>
      <c r="G3013" t="s">
        <v>25</v>
      </c>
      <c r="H3013" t="s">
        <v>332</v>
      </c>
      <c r="I3013"/>
    </row>
    <row r="3014" spans="1:9">
      <c r="A3014" t="s">
        <v>2961</v>
      </c>
      <c r="B3014" s="1" t="str">
        <f>"11011464"</f>
        <v>11011464</v>
      </c>
      <c r="C3014" t="s">
        <v>2963</v>
      </c>
      <c r="D3014" t="s">
        <v>2992</v>
      </c>
      <c r="E3014" s="2">
        <v>0.4</v>
      </c>
      <c r="F3014" t="s">
        <v>12</v>
      </c>
      <c r="G3014" t="s">
        <v>25</v>
      </c>
      <c r="H3014" t="s">
        <v>332</v>
      </c>
      <c r="I3014"/>
    </row>
    <row r="3015" spans="1:9">
      <c r="A3015" t="s">
        <v>2961</v>
      </c>
      <c r="B3015" s="1" t="str">
        <f>"11010346"</f>
        <v>11010346</v>
      </c>
      <c r="C3015" t="s">
        <v>2963</v>
      </c>
      <c r="D3015" t="s">
        <v>2993</v>
      </c>
      <c r="E3015" s="2">
        <v>0.4</v>
      </c>
      <c r="F3015" t="s">
        <v>2737</v>
      </c>
      <c r="G3015" t="s">
        <v>2778</v>
      </c>
      <c r="H3015" t="s">
        <v>332</v>
      </c>
      <c r="I3015"/>
    </row>
    <row r="3016" spans="1:9">
      <c r="A3016" t="s">
        <v>2961</v>
      </c>
      <c r="B3016" s="1" t="str">
        <f>"11011455"</f>
        <v>11011455</v>
      </c>
      <c r="C3016" t="s">
        <v>2963</v>
      </c>
      <c r="D3016" t="s">
        <v>2994</v>
      </c>
      <c r="E3016" s="2">
        <v>0.4</v>
      </c>
      <c r="F3016" t="s">
        <v>2737</v>
      </c>
      <c r="G3016" t="s">
        <v>25</v>
      </c>
      <c r="H3016" t="s">
        <v>332</v>
      </c>
      <c r="I3016"/>
    </row>
    <row r="3017" spans="1:9">
      <c r="A3017" t="s">
        <v>2961</v>
      </c>
      <c r="B3017" s="1" t="str">
        <f>"11010351"</f>
        <v>11010351</v>
      </c>
      <c r="C3017" t="s">
        <v>2963</v>
      </c>
      <c r="D3017" t="s">
        <v>2995</v>
      </c>
      <c r="E3017" s="2">
        <v>0.4</v>
      </c>
      <c r="F3017" t="s">
        <v>12</v>
      </c>
      <c r="G3017" t="s">
        <v>2996</v>
      </c>
      <c r="H3017" t="s">
        <v>2997</v>
      </c>
      <c r="I3017"/>
    </row>
    <row r="3018" spans="1:9">
      <c r="A3018" t="s">
        <v>2961</v>
      </c>
      <c r="B3018" s="1" t="str">
        <f>"11010352"</f>
        <v>11010352</v>
      </c>
      <c r="C3018" t="s">
        <v>2963</v>
      </c>
      <c r="D3018" t="s">
        <v>2998</v>
      </c>
      <c r="E3018" s="2">
        <v>0.43</v>
      </c>
      <c r="F3018" t="s">
        <v>12</v>
      </c>
      <c r="G3018" t="s">
        <v>2999</v>
      </c>
      <c r="H3018" t="s">
        <v>332</v>
      </c>
      <c r="I3018"/>
    </row>
    <row r="3019" spans="1:9">
      <c r="A3019" t="s">
        <v>2961</v>
      </c>
      <c r="B3019" s="1" t="str">
        <f>"11011497"</f>
        <v>11011497</v>
      </c>
      <c r="C3019" t="s">
        <v>2963</v>
      </c>
      <c r="D3019" t="s">
        <v>3000</v>
      </c>
      <c r="E3019" s="2">
        <v>0.46</v>
      </c>
      <c r="F3019" t="s">
        <v>2737</v>
      </c>
      <c r="G3019" t="s">
        <v>2948</v>
      </c>
      <c r="H3019" t="s">
        <v>332</v>
      </c>
      <c r="I3019"/>
    </row>
    <row r="3020" spans="1:9">
      <c r="A3020" t="s">
        <v>2961</v>
      </c>
      <c r="B3020" s="1" t="str">
        <f>"11011495"</f>
        <v>11011495</v>
      </c>
      <c r="C3020" t="s">
        <v>2963</v>
      </c>
      <c r="D3020" t="s">
        <v>3001</v>
      </c>
      <c r="E3020" s="2">
        <v>0.43</v>
      </c>
      <c r="F3020" t="s">
        <v>2737</v>
      </c>
      <c r="G3020" t="s">
        <v>25</v>
      </c>
      <c r="H3020" t="s">
        <v>332</v>
      </c>
      <c r="I3020"/>
    </row>
    <row r="3021" spans="1:9">
      <c r="A3021" t="s">
        <v>2961</v>
      </c>
      <c r="B3021" s="1" t="str">
        <f>"11011496"</f>
        <v>11011496</v>
      </c>
      <c r="C3021" t="s">
        <v>2963</v>
      </c>
      <c r="D3021" t="s">
        <v>3002</v>
      </c>
      <c r="E3021" s="2">
        <v>0.46</v>
      </c>
      <c r="F3021" t="s">
        <v>2737</v>
      </c>
      <c r="G3021" t="s">
        <v>25</v>
      </c>
      <c r="H3021" t="s">
        <v>332</v>
      </c>
      <c r="I3021"/>
    </row>
    <row r="3022" spans="1:9">
      <c r="A3022" t="s">
        <v>2961</v>
      </c>
      <c r="B3022" s="1" t="str">
        <f>"11011460"</f>
        <v>11011460</v>
      </c>
      <c r="C3022" t="s">
        <v>2963</v>
      </c>
      <c r="D3022" t="s">
        <v>3003</v>
      </c>
      <c r="E3022" s="2">
        <v>0.4</v>
      </c>
      <c r="F3022" t="s">
        <v>12</v>
      </c>
      <c r="G3022" t="s">
        <v>25</v>
      </c>
      <c r="H3022" t="s">
        <v>332</v>
      </c>
      <c r="I3022"/>
    </row>
    <row r="3023" spans="1:9">
      <c r="A3023" t="s">
        <v>2961</v>
      </c>
      <c r="B3023" s="1" t="str">
        <f>"11011429"</f>
        <v>11011429</v>
      </c>
      <c r="C3023" t="s">
        <v>2963</v>
      </c>
      <c r="D3023" t="s">
        <v>3004</v>
      </c>
      <c r="E3023" s="2">
        <v>0.43</v>
      </c>
      <c r="F3023" t="s">
        <v>2737</v>
      </c>
      <c r="G3023" t="s">
        <v>360</v>
      </c>
      <c r="H3023" t="s">
        <v>240</v>
      </c>
      <c r="I3023"/>
    </row>
    <row r="3024" spans="1:9">
      <c r="A3024" t="s">
        <v>2961</v>
      </c>
      <c r="B3024" s="1" t="str">
        <f>"11011129"</f>
        <v>11011129</v>
      </c>
      <c r="C3024" t="s">
        <v>2963</v>
      </c>
      <c r="D3024" t="s">
        <v>3005</v>
      </c>
      <c r="E3024" s="2">
        <v>0.423</v>
      </c>
      <c r="F3024" t="s">
        <v>12</v>
      </c>
      <c r="G3024" t="s">
        <v>360</v>
      </c>
      <c r="H3024" t="s">
        <v>240</v>
      </c>
      <c r="I3024"/>
    </row>
    <row r="3025" spans="1:9">
      <c r="A3025" t="s">
        <v>2961</v>
      </c>
      <c r="B3025" s="1" t="str">
        <f>"11011487"</f>
        <v>11011487</v>
      </c>
      <c r="C3025" t="s">
        <v>2963</v>
      </c>
      <c r="D3025" t="s">
        <v>3006</v>
      </c>
      <c r="E3025" s="2">
        <v>0.4</v>
      </c>
      <c r="F3025" t="s">
        <v>2737</v>
      </c>
      <c r="G3025" t="s">
        <v>25</v>
      </c>
      <c r="H3025" t="s">
        <v>332</v>
      </c>
      <c r="I3025"/>
    </row>
    <row r="3026" spans="1:9">
      <c r="A3026" t="s">
        <v>2961</v>
      </c>
      <c r="B3026" s="1" t="str">
        <f>"11011175"</f>
        <v>11011175</v>
      </c>
      <c r="C3026" t="s">
        <v>2963</v>
      </c>
      <c r="D3026" t="s">
        <v>3007</v>
      </c>
      <c r="E3026" s="2">
        <v>0.445</v>
      </c>
      <c r="F3026" t="s">
        <v>2737</v>
      </c>
      <c r="G3026" t="s">
        <v>360</v>
      </c>
      <c r="H3026" t="s">
        <v>240</v>
      </c>
      <c r="I3026"/>
    </row>
    <row r="3027" spans="1:9">
      <c r="A3027" t="s">
        <v>2961</v>
      </c>
      <c r="B3027" s="1" t="str">
        <f>"11012353"</f>
        <v>11012353</v>
      </c>
      <c r="C3027" t="s">
        <v>2963</v>
      </c>
      <c r="D3027" t="s">
        <v>3008</v>
      </c>
      <c r="E3027" s="2">
        <v>0.4</v>
      </c>
      <c r="F3027" t="s">
        <v>2737</v>
      </c>
      <c r="G3027" t="s">
        <v>25</v>
      </c>
      <c r="H3027" t="s">
        <v>332</v>
      </c>
      <c r="I3027"/>
    </row>
    <row r="3028" spans="1:9">
      <c r="A3028" t="s">
        <v>2961</v>
      </c>
      <c r="B3028" s="1" t="str">
        <f>"11011250"</f>
        <v>11011250</v>
      </c>
      <c r="C3028" t="s">
        <v>2963</v>
      </c>
      <c r="D3028" t="s">
        <v>3009</v>
      </c>
      <c r="E3028" s="2">
        <v>0.4</v>
      </c>
      <c r="F3028" t="s">
        <v>2947</v>
      </c>
      <c r="G3028" t="s">
        <v>332</v>
      </c>
      <c r="H3028" t="s">
        <v>332</v>
      </c>
      <c r="I3028"/>
    </row>
    <row r="3029" spans="1:9">
      <c r="A3029" t="s">
        <v>2961</v>
      </c>
      <c r="B3029" s="1" t="str">
        <f>"11011516"</f>
        <v>11011516</v>
      </c>
      <c r="C3029" t="s">
        <v>2963</v>
      </c>
      <c r="D3029" t="s">
        <v>3009</v>
      </c>
      <c r="E3029" s="2">
        <v>0.4</v>
      </c>
      <c r="F3029" t="s">
        <v>12</v>
      </c>
      <c r="G3029" t="s">
        <v>29</v>
      </c>
      <c r="H3029" t="s">
        <v>332</v>
      </c>
      <c r="I3029"/>
    </row>
    <row r="3030" spans="1:9">
      <c r="A3030" t="s">
        <v>2961</v>
      </c>
      <c r="B3030" s="1" t="str">
        <f>"11011514"</f>
        <v>11011514</v>
      </c>
      <c r="C3030" t="s">
        <v>2963</v>
      </c>
      <c r="D3030" t="s">
        <v>3010</v>
      </c>
      <c r="E3030" s="2">
        <v>0.4</v>
      </c>
      <c r="F3030" t="s">
        <v>2917</v>
      </c>
      <c r="G3030" t="s">
        <v>3011</v>
      </c>
      <c r="H3030" t="s">
        <v>3011</v>
      </c>
      <c r="I3030"/>
    </row>
    <row r="3031" spans="1:9">
      <c r="A3031" t="s">
        <v>2961</v>
      </c>
      <c r="B3031" s="1" t="str">
        <f>"11011488"</f>
        <v>11011488</v>
      </c>
      <c r="C3031" t="s">
        <v>2963</v>
      </c>
      <c r="D3031" t="s">
        <v>3012</v>
      </c>
      <c r="E3031" s="2">
        <v>0.4</v>
      </c>
      <c r="F3031" t="s">
        <v>2917</v>
      </c>
      <c r="G3031" t="s">
        <v>29</v>
      </c>
      <c r="H3031" t="s">
        <v>29</v>
      </c>
      <c r="I3031"/>
    </row>
    <row r="3032" spans="1:9">
      <c r="A3032" t="s">
        <v>2961</v>
      </c>
      <c r="B3032" s="1" t="str">
        <f>"11011505"</f>
        <v>11011505</v>
      </c>
      <c r="C3032" t="s">
        <v>2963</v>
      </c>
      <c r="D3032" t="s">
        <v>3012</v>
      </c>
      <c r="E3032" s="2">
        <v>0.4</v>
      </c>
      <c r="F3032" t="s">
        <v>12</v>
      </c>
      <c r="G3032" t="s">
        <v>25</v>
      </c>
      <c r="H3032" t="s">
        <v>332</v>
      </c>
      <c r="I3032"/>
    </row>
    <row r="3033" spans="1:9">
      <c r="A3033" t="s">
        <v>2961</v>
      </c>
      <c r="B3033" s="1" t="str">
        <f>"11012660"</f>
        <v>11012660</v>
      </c>
      <c r="C3033" t="s">
        <v>2963</v>
      </c>
      <c r="D3033" t="s">
        <v>3013</v>
      </c>
      <c r="E3033" s="2">
        <v>0.4</v>
      </c>
      <c r="F3033" t="s">
        <v>12</v>
      </c>
      <c r="G3033" t="s">
        <v>25</v>
      </c>
      <c r="H3033" t="s">
        <v>332</v>
      </c>
      <c r="I3033"/>
    </row>
    <row r="3034" spans="1:9">
      <c r="A3034" t="s">
        <v>2961</v>
      </c>
      <c r="B3034" s="1" t="str">
        <f>"11011493"</f>
        <v>11011493</v>
      </c>
      <c r="C3034" t="s">
        <v>2963</v>
      </c>
      <c r="D3034" t="s">
        <v>3014</v>
      </c>
      <c r="E3034" s="2">
        <v>0.4</v>
      </c>
      <c r="F3034" t="s">
        <v>2917</v>
      </c>
      <c r="G3034" t="s">
        <v>2918</v>
      </c>
      <c r="H3034" t="s">
        <v>2918</v>
      </c>
      <c r="I3034"/>
    </row>
    <row r="3035" spans="1:9">
      <c r="A3035" t="s">
        <v>2961</v>
      </c>
      <c r="B3035" s="1" t="str">
        <f>"11011439"</f>
        <v>11011439</v>
      </c>
      <c r="C3035" t="s">
        <v>2963</v>
      </c>
      <c r="D3035" t="s">
        <v>3015</v>
      </c>
      <c r="E3035" s="2">
        <v>0.4</v>
      </c>
      <c r="F3035" t="s">
        <v>12</v>
      </c>
      <c r="G3035" t="s">
        <v>25</v>
      </c>
      <c r="H3035" t="s">
        <v>332</v>
      </c>
      <c r="I3035"/>
    </row>
    <row r="3036" spans="1:9">
      <c r="A3036" t="s">
        <v>2961</v>
      </c>
      <c r="B3036" s="1" t="str">
        <f>"11011462"</f>
        <v>11011462</v>
      </c>
      <c r="C3036" t="s">
        <v>2963</v>
      </c>
      <c r="D3036" t="s">
        <v>3016</v>
      </c>
      <c r="E3036" s="2">
        <v>0.4</v>
      </c>
      <c r="F3036" t="s">
        <v>2737</v>
      </c>
      <c r="G3036" t="s">
        <v>25</v>
      </c>
      <c r="H3036" t="s">
        <v>332</v>
      </c>
      <c r="I3036"/>
    </row>
    <row r="3037" spans="1:9">
      <c r="A3037" t="s">
        <v>2961</v>
      </c>
      <c r="B3037" s="1" t="str">
        <f>"11011501"</f>
        <v>11011501</v>
      </c>
      <c r="C3037" t="s">
        <v>2963</v>
      </c>
      <c r="D3037" t="s">
        <v>3017</v>
      </c>
      <c r="E3037" s="2">
        <v>0.4</v>
      </c>
      <c r="F3037" t="s">
        <v>12</v>
      </c>
      <c r="G3037" t="s">
        <v>29</v>
      </c>
      <c r="H3037" t="s">
        <v>332</v>
      </c>
      <c r="I3037"/>
    </row>
    <row r="3038" spans="1:9">
      <c r="A3038" t="s">
        <v>2961</v>
      </c>
      <c r="B3038" s="1" t="str">
        <f>"11011418"</f>
        <v>11011418</v>
      </c>
      <c r="C3038" t="s">
        <v>2963</v>
      </c>
      <c r="D3038" t="s">
        <v>3018</v>
      </c>
      <c r="E3038" s="2">
        <v>0.4</v>
      </c>
      <c r="F3038" t="s">
        <v>12</v>
      </c>
      <c r="G3038" t="s">
        <v>25</v>
      </c>
      <c r="H3038" t="s">
        <v>332</v>
      </c>
      <c r="I3038"/>
    </row>
    <row r="3039" spans="1:9">
      <c r="A3039" t="s">
        <v>2961</v>
      </c>
      <c r="B3039" s="1" t="str">
        <f>"11011422"</f>
        <v>11011422</v>
      </c>
      <c r="C3039" t="s">
        <v>2963</v>
      </c>
      <c r="D3039" t="s">
        <v>3019</v>
      </c>
      <c r="E3039" s="2">
        <v>0.4</v>
      </c>
      <c r="F3039" t="s">
        <v>2917</v>
      </c>
      <c r="G3039" t="s">
        <v>2918</v>
      </c>
      <c r="H3039" t="s">
        <v>2918</v>
      </c>
      <c r="I3039"/>
    </row>
    <row r="3040" spans="1:9">
      <c r="A3040" t="s">
        <v>2961</v>
      </c>
      <c r="B3040" s="1" t="str">
        <f>"11010845"</f>
        <v>11010845</v>
      </c>
      <c r="C3040" t="s">
        <v>2963</v>
      </c>
      <c r="D3040" t="s">
        <v>3020</v>
      </c>
      <c r="E3040" s="2">
        <v>0.4</v>
      </c>
      <c r="F3040" t="s">
        <v>12</v>
      </c>
      <c r="G3040" t="s">
        <v>2780</v>
      </c>
      <c r="H3040" t="s">
        <v>332</v>
      </c>
      <c r="I3040"/>
    </row>
    <row r="3041" spans="1:9">
      <c r="A3041" t="s">
        <v>2961</v>
      </c>
      <c r="B3041" s="1" t="str">
        <f>"11010812"</f>
        <v>11010812</v>
      </c>
      <c r="C3041" t="s">
        <v>2963</v>
      </c>
      <c r="D3041" t="s">
        <v>3021</v>
      </c>
      <c r="E3041" s="2">
        <v>0.456</v>
      </c>
      <c r="F3041" t="s">
        <v>2737</v>
      </c>
      <c r="G3041" t="s">
        <v>360</v>
      </c>
      <c r="H3041" t="s">
        <v>240</v>
      </c>
      <c r="I3041"/>
    </row>
    <row r="3042" spans="1:9">
      <c r="A3042" t="s">
        <v>2961</v>
      </c>
      <c r="B3042" s="1" t="str">
        <f>"11010811"</f>
        <v>11010811</v>
      </c>
      <c r="C3042" t="s">
        <v>2963</v>
      </c>
      <c r="D3042" t="s">
        <v>3022</v>
      </c>
      <c r="E3042" s="2">
        <v>0.436</v>
      </c>
      <c r="F3042" t="s">
        <v>12</v>
      </c>
      <c r="G3042" t="s">
        <v>360</v>
      </c>
      <c r="H3042" t="s">
        <v>240</v>
      </c>
      <c r="I3042"/>
    </row>
    <row r="3043" spans="1:9">
      <c r="A3043" t="s">
        <v>2961</v>
      </c>
      <c r="B3043" s="1" t="str">
        <f>"11010819"</f>
        <v>11010819</v>
      </c>
      <c r="C3043" t="s">
        <v>2963</v>
      </c>
      <c r="D3043" t="s">
        <v>3023</v>
      </c>
      <c r="E3043" s="2">
        <v>0.4</v>
      </c>
      <c r="F3043" t="s">
        <v>12</v>
      </c>
      <c r="G3043" t="s">
        <v>2780</v>
      </c>
      <c r="H3043" t="s">
        <v>332</v>
      </c>
      <c r="I3043"/>
    </row>
    <row r="3044" spans="1:9">
      <c r="A3044" t="s">
        <v>2961</v>
      </c>
      <c r="B3044" s="1" t="str">
        <f>"11011423"</f>
        <v>11011423</v>
      </c>
      <c r="C3044" t="s">
        <v>2963</v>
      </c>
      <c r="D3044" t="s">
        <v>3024</v>
      </c>
      <c r="E3044" s="2">
        <v>0.43</v>
      </c>
      <c r="F3044" t="s">
        <v>2737</v>
      </c>
      <c r="G3044" t="s">
        <v>25</v>
      </c>
      <c r="H3044" t="s">
        <v>332</v>
      </c>
      <c r="I3044"/>
    </row>
    <row r="3045" spans="1:9">
      <c r="A3045" t="s">
        <v>2961</v>
      </c>
      <c r="B3045" s="1" t="str">
        <f>"11798730"</f>
        <v>11798730</v>
      </c>
      <c r="C3045" t="s">
        <v>2963</v>
      </c>
      <c r="D3045" t="s">
        <v>3025</v>
      </c>
      <c r="E3045" s="2">
        <v>0.48</v>
      </c>
      <c r="F3045" t="s">
        <v>2737</v>
      </c>
      <c r="G3045" t="s">
        <v>25</v>
      </c>
      <c r="H3045" t="s">
        <v>332</v>
      </c>
      <c r="I3045"/>
    </row>
    <row r="3046" spans="1:9">
      <c r="A3046" t="s">
        <v>2961</v>
      </c>
      <c r="B3046" s="1" t="str">
        <f>"11010780"</f>
        <v>11010780</v>
      </c>
      <c r="C3046" t="s">
        <v>2963</v>
      </c>
      <c r="D3046" t="s">
        <v>3026</v>
      </c>
      <c r="E3046" s="2">
        <v>0.4</v>
      </c>
      <c r="F3046" t="s">
        <v>2737</v>
      </c>
      <c r="G3046" t="s">
        <v>2780</v>
      </c>
      <c r="H3046" t="s">
        <v>332</v>
      </c>
      <c r="I3046"/>
    </row>
    <row r="3047" spans="1:9">
      <c r="A3047" t="s">
        <v>2961</v>
      </c>
      <c r="B3047" s="1" t="str">
        <f>"11011504"</f>
        <v>11011504</v>
      </c>
      <c r="C3047" t="s">
        <v>2963</v>
      </c>
      <c r="D3047" t="s">
        <v>3027</v>
      </c>
      <c r="E3047" s="2">
        <v>0.4</v>
      </c>
      <c r="F3047" t="s">
        <v>12</v>
      </c>
      <c r="G3047" t="s">
        <v>25</v>
      </c>
      <c r="H3047" t="s">
        <v>332</v>
      </c>
      <c r="I3047"/>
    </row>
    <row r="3048" spans="1:9">
      <c r="A3048" t="s">
        <v>2961</v>
      </c>
      <c r="B3048" s="1" t="str">
        <f>"11011545"</f>
        <v>11011545</v>
      </c>
      <c r="C3048" t="s">
        <v>2963</v>
      </c>
      <c r="D3048" t="s">
        <v>3028</v>
      </c>
      <c r="E3048" s="2">
        <v>0.4</v>
      </c>
      <c r="F3048" t="s">
        <v>2737</v>
      </c>
      <c r="G3048" t="s">
        <v>25</v>
      </c>
      <c r="H3048" t="s">
        <v>332</v>
      </c>
      <c r="I3048"/>
    </row>
    <row r="3049" spans="1:9">
      <c r="A3049" t="s">
        <v>2961</v>
      </c>
      <c r="B3049" s="1" t="str">
        <f>"11011921"</f>
        <v>11011921</v>
      </c>
      <c r="C3049" t="s">
        <v>2963</v>
      </c>
      <c r="D3049" t="s">
        <v>3029</v>
      </c>
      <c r="E3049" s="2">
        <v>0.4</v>
      </c>
      <c r="F3049" t="s">
        <v>12</v>
      </c>
      <c r="G3049" t="s">
        <v>29</v>
      </c>
      <c r="H3049" t="s">
        <v>332</v>
      </c>
      <c r="I3049"/>
    </row>
    <row r="3050" spans="1:9">
      <c r="A3050" t="s">
        <v>2961</v>
      </c>
      <c r="B3050" s="1" t="str">
        <f>"11010218"</f>
        <v>11010218</v>
      </c>
      <c r="C3050" t="s">
        <v>2963</v>
      </c>
      <c r="D3050" t="s">
        <v>3030</v>
      </c>
      <c r="E3050" s="2">
        <v>0.4</v>
      </c>
      <c r="F3050" t="s">
        <v>12</v>
      </c>
      <c r="G3050" t="s">
        <v>25</v>
      </c>
      <c r="H3050" t="s">
        <v>332</v>
      </c>
      <c r="I3050"/>
    </row>
    <row r="3051" spans="1:9">
      <c r="A3051" t="s">
        <v>2961</v>
      </c>
      <c r="B3051" s="1" t="str">
        <f>"11010263"</f>
        <v>11010263</v>
      </c>
      <c r="C3051" t="s">
        <v>2963</v>
      </c>
      <c r="D3051" t="s">
        <v>3031</v>
      </c>
      <c r="E3051" s="2">
        <v>0.43</v>
      </c>
      <c r="F3051" t="s">
        <v>2737</v>
      </c>
      <c r="G3051" t="s">
        <v>25</v>
      </c>
      <c r="H3051" t="s">
        <v>332</v>
      </c>
      <c r="I3051"/>
    </row>
    <row r="3052" spans="1:9">
      <c r="A3052" t="s">
        <v>2961</v>
      </c>
      <c r="B3052" s="1" t="str">
        <f>"11012661"</f>
        <v>11012661</v>
      </c>
      <c r="C3052" t="s">
        <v>2963</v>
      </c>
      <c r="D3052" t="s">
        <v>3032</v>
      </c>
      <c r="E3052" s="2">
        <v>0.4</v>
      </c>
      <c r="F3052" t="s">
        <v>12</v>
      </c>
      <c r="G3052" t="s">
        <v>29</v>
      </c>
      <c r="H3052" t="s">
        <v>332</v>
      </c>
      <c r="I3052"/>
    </row>
    <row r="3053" spans="1:9">
      <c r="A3053" t="s">
        <v>2961</v>
      </c>
      <c r="B3053" s="1" t="str">
        <f>"11011563"</f>
        <v>11011563</v>
      </c>
      <c r="C3053" t="s">
        <v>2963</v>
      </c>
      <c r="D3053" t="s">
        <v>3033</v>
      </c>
      <c r="E3053" s="2">
        <v>0.4</v>
      </c>
      <c r="F3053" t="s">
        <v>12</v>
      </c>
      <c r="G3053" t="s">
        <v>2780</v>
      </c>
      <c r="H3053" t="s">
        <v>332</v>
      </c>
      <c r="I3053"/>
    </row>
    <row r="3054" spans="1:9">
      <c r="A3054" t="s">
        <v>2961</v>
      </c>
      <c r="B3054" s="1" t="str">
        <f>"11010267"</f>
        <v>11010267</v>
      </c>
      <c r="C3054" t="s">
        <v>2963</v>
      </c>
      <c r="D3054" t="s">
        <v>3034</v>
      </c>
      <c r="E3054" s="2">
        <v>0.4</v>
      </c>
      <c r="F3054" t="s">
        <v>12</v>
      </c>
      <c r="G3054"/>
      <c r="H3054" t="s">
        <v>2780</v>
      </c>
      <c r="I3054"/>
    </row>
    <row r="3055" spans="1:9">
      <c r="A3055" t="s">
        <v>2961</v>
      </c>
      <c r="B3055" s="1" t="str">
        <f>"11012190"</f>
        <v>11012190</v>
      </c>
      <c r="C3055" t="s">
        <v>2963</v>
      </c>
      <c r="D3055" t="s">
        <v>3035</v>
      </c>
      <c r="E3055" s="2">
        <v>0.35</v>
      </c>
      <c r="F3055" t="s">
        <v>12</v>
      </c>
      <c r="G3055" t="s">
        <v>29</v>
      </c>
      <c r="H3055" t="s">
        <v>332</v>
      </c>
      <c r="I3055"/>
    </row>
    <row r="3056" spans="1:9">
      <c r="A3056" t="s">
        <v>2961</v>
      </c>
      <c r="B3056" s="1" t="str">
        <f>"11011484"</f>
        <v>11011484</v>
      </c>
      <c r="C3056" t="s">
        <v>2963</v>
      </c>
      <c r="D3056" t="s">
        <v>3036</v>
      </c>
      <c r="E3056" s="2">
        <v>0.458</v>
      </c>
      <c r="F3056" t="s">
        <v>2737</v>
      </c>
      <c r="G3056" t="s">
        <v>25</v>
      </c>
      <c r="H3056" t="s">
        <v>332</v>
      </c>
      <c r="I3056"/>
    </row>
    <row r="3057" spans="1:9">
      <c r="A3057" t="s">
        <v>2961</v>
      </c>
      <c r="B3057" s="1" t="str">
        <f>"11010225"</f>
        <v>11010225</v>
      </c>
      <c r="C3057" t="s">
        <v>2963</v>
      </c>
      <c r="D3057" t="s">
        <v>3037</v>
      </c>
      <c r="E3057" s="2">
        <v>0.4</v>
      </c>
      <c r="F3057" t="s">
        <v>12</v>
      </c>
      <c r="G3057" t="s">
        <v>29</v>
      </c>
      <c r="H3057" t="s">
        <v>332</v>
      </c>
      <c r="I3057"/>
    </row>
    <row r="3058" spans="1:9">
      <c r="A3058" t="s">
        <v>2961</v>
      </c>
      <c r="B3058" s="1" t="str">
        <f>"11452503"</f>
        <v>11452503</v>
      </c>
      <c r="C3058" t="s">
        <v>2963</v>
      </c>
      <c r="D3058" t="s">
        <v>3038</v>
      </c>
      <c r="E3058" s="2">
        <v>0.4</v>
      </c>
      <c r="F3058" t="s">
        <v>2737</v>
      </c>
      <c r="G3058" t="s">
        <v>25</v>
      </c>
      <c r="H3058" t="s">
        <v>332</v>
      </c>
      <c r="I3058"/>
    </row>
    <row r="3059" spans="1:9">
      <c r="A3059" t="s">
        <v>2961</v>
      </c>
      <c r="B3059" s="1" t="str">
        <f>"11011532"</f>
        <v>11011532</v>
      </c>
      <c r="C3059" t="s">
        <v>2963</v>
      </c>
      <c r="D3059" t="s">
        <v>3039</v>
      </c>
      <c r="E3059" s="2">
        <v>0.46</v>
      </c>
      <c r="F3059" t="s">
        <v>2737</v>
      </c>
      <c r="G3059" t="s">
        <v>25</v>
      </c>
      <c r="H3059" t="s">
        <v>332</v>
      </c>
      <c r="I3059"/>
    </row>
    <row r="3060" spans="1:9">
      <c r="A3060" t="s">
        <v>2961</v>
      </c>
      <c r="B3060" s="1" t="str">
        <f>"11012114"</f>
        <v>11012114</v>
      </c>
      <c r="C3060" t="s">
        <v>2963</v>
      </c>
      <c r="D3060" t="s">
        <v>3040</v>
      </c>
      <c r="E3060" s="2">
        <v>0.4</v>
      </c>
      <c r="F3060" t="s">
        <v>12</v>
      </c>
      <c r="G3060" t="s">
        <v>25</v>
      </c>
      <c r="H3060" t="s">
        <v>332</v>
      </c>
      <c r="I3060"/>
    </row>
    <row r="3061" spans="1:9">
      <c r="A3061" t="s">
        <v>2961</v>
      </c>
      <c r="B3061" s="1" t="str">
        <f>"11011475"</f>
        <v>11011475</v>
      </c>
      <c r="C3061" t="s">
        <v>2963</v>
      </c>
      <c r="D3061" t="s">
        <v>3041</v>
      </c>
      <c r="E3061" s="2">
        <v>0.4</v>
      </c>
      <c r="F3061" t="s">
        <v>12</v>
      </c>
      <c r="G3061" t="s">
        <v>29</v>
      </c>
      <c r="H3061" t="s">
        <v>29</v>
      </c>
      <c r="I3061"/>
    </row>
    <row r="3062" spans="1:9">
      <c r="A3062" t="s">
        <v>2961</v>
      </c>
      <c r="B3062" s="1" t="str">
        <f>"11011535"</f>
        <v>11011535</v>
      </c>
      <c r="C3062" t="s">
        <v>2963</v>
      </c>
      <c r="D3062" t="s">
        <v>3042</v>
      </c>
      <c r="E3062" s="2">
        <v>0.4</v>
      </c>
      <c r="F3062" t="s">
        <v>2737</v>
      </c>
      <c r="G3062" t="s">
        <v>25</v>
      </c>
      <c r="H3062" t="s">
        <v>332</v>
      </c>
      <c r="I3062"/>
    </row>
    <row r="3063" spans="1:9">
      <c r="A3063" t="s">
        <v>2961</v>
      </c>
      <c r="B3063" s="1" t="str">
        <f>"11011486"</f>
        <v>11011486</v>
      </c>
      <c r="C3063" t="s">
        <v>2963</v>
      </c>
      <c r="D3063" t="s">
        <v>3043</v>
      </c>
      <c r="E3063" s="2">
        <v>0.4</v>
      </c>
      <c r="F3063" t="s">
        <v>2737</v>
      </c>
      <c r="G3063" t="s">
        <v>25</v>
      </c>
      <c r="H3063" t="s">
        <v>332</v>
      </c>
      <c r="I3063"/>
    </row>
    <row r="3064" spans="1:9">
      <c r="A3064" t="s">
        <v>2961</v>
      </c>
      <c r="B3064" s="1" t="str">
        <f>"11010222"</f>
        <v>11010222</v>
      </c>
      <c r="C3064" t="s">
        <v>2963</v>
      </c>
      <c r="D3064" t="s">
        <v>3044</v>
      </c>
      <c r="E3064" s="2">
        <v>0.43</v>
      </c>
      <c r="F3064" t="s">
        <v>12</v>
      </c>
      <c r="G3064" t="s">
        <v>25</v>
      </c>
      <c r="H3064" t="s">
        <v>332</v>
      </c>
      <c r="I3064"/>
    </row>
    <row r="3065" spans="1:9">
      <c r="A3065" t="s">
        <v>2961</v>
      </c>
      <c r="B3065" s="1" t="str">
        <f>"11089376"</f>
        <v>11089376</v>
      </c>
      <c r="C3065" t="s">
        <v>2963</v>
      </c>
      <c r="D3065" t="s">
        <v>3045</v>
      </c>
      <c r="E3065" s="2">
        <v>0.4</v>
      </c>
      <c r="F3065" t="s">
        <v>2737</v>
      </c>
      <c r="G3065" t="s">
        <v>25</v>
      </c>
      <c r="H3065" t="s">
        <v>332</v>
      </c>
      <c r="I3065"/>
    </row>
    <row r="3066" spans="1:9">
      <c r="A3066" t="s">
        <v>2961</v>
      </c>
      <c r="B3066" s="1" t="str">
        <f>"11089375"</f>
        <v>11089375</v>
      </c>
      <c r="C3066" t="s">
        <v>2963</v>
      </c>
      <c r="D3066" t="s">
        <v>3046</v>
      </c>
      <c r="E3066" s="2">
        <v>0.4</v>
      </c>
      <c r="F3066" t="s">
        <v>2737</v>
      </c>
      <c r="G3066" t="s">
        <v>25</v>
      </c>
      <c r="H3066" t="s">
        <v>332</v>
      </c>
      <c r="I3066"/>
    </row>
    <row r="3067" spans="1:9">
      <c r="A3067" t="s">
        <v>2961</v>
      </c>
      <c r="B3067" s="1" t="str">
        <f>"11011485"</f>
        <v>11011485</v>
      </c>
      <c r="C3067" t="s">
        <v>2963</v>
      </c>
      <c r="D3067" t="s">
        <v>3047</v>
      </c>
      <c r="E3067" s="2">
        <v>0.4</v>
      </c>
      <c r="F3067" t="s">
        <v>2737</v>
      </c>
      <c r="G3067" t="s">
        <v>25</v>
      </c>
      <c r="H3067" t="s">
        <v>332</v>
      </c>
      <c r="I3067"/>
    </row>
    <row r="3068" spans="1:9">
      <c r="A3068" t="s">
        <v>2961</v>
      </c>
      <c r="B3068" s="1" t="str">
        <f>"11010220"</f>
        <v>11010220</v>
      </c>
      <c r="C3068" t="s">
        <v>2963</v>
      </c>
      <c r="D3068" t="s">
        <v>3048</v>
      </c>
      <c r="E3068" s="2">
        <v>0.438</v>
      </c>
      <c r="F3068" t="s">
        <v>2737</v>
      </c>
      <c r="G3068" t="s">
        <v>25</v>
      </c>
      <c r="H3068" t="s">
        <v>332</v>
      </c>
      <c r="I3068"/>
    </row>
    <row r="3069" spans="1:9">
      <c r="A3069" t="s">
        <v>2961</v>
      </c>
      <c r="B3069" s="1" t="str">
        <f>"11010201"</f>
        <v>11010201</v>
      </c>
      <c r="C3069" t="s">
        <v>2963</v>
      </c>
      <c r="D3069" t="s">
        <v>3049</v>
      </c>
      <c r="E3069" s="2">
        <v>0.4</v>
      </c>
      <c r="F3069" t="s">
        <v>2737</v>
      </c>
      <c r="G3069" t="s">
        <v>25</v>
      </c>
      <c r="H3069" t="s">
        <v>332</v>
      </c>
      <c r="I3069"/>
    </row>
    <row r="3070" spans="1:9">
      <c r="A3070" t="s">
        <v>2961</v>
      </c>
      <c r="B3070" s="1" t="str">
        <f>"11089377"</f>
        <v>11089377</v>
      </c>
      <c r="C3070" t="s">
        <v>2963</v>
      </c>
      <c r="D3070" t="s">
        <v>3050</v>
      </c>
      <c r="E3070" s="2">
        <v>0.4</v>
      </c>
      <c r="F3070" t="s">
        <v>2737</v>
      </c>
      <c r="G3070" t="s">
        <v>25</v>
      </c>
      <c r="H3070" t="s">
        <v>332</v>
      </c>
      <c r="I3070"/>
    </row>
    <row r="3071" spans="1:9">
      <c r="A3071" t="s">
        <v>2961</v>
      </c>
      <c r="B3071" s="1" t="str">
        <f>"11411220"</f>
        <v>11411220</v>
      </c>
      <c r="C3071" t="s">
        <v>2963</v>
      </c>
      <c r="D3071" t="s">
        <v>3051</v>
      </c>
      <c r="E3071" s="2">
        <v>0.4</v>
      </c>
      <c r="F3071" t="s">
        <v>12</v>
      </c>
      <c r="G3071" t="s">
        <v>29</v>
      </c>
      <c r="H3071" t="s">
        <v>332</v>
      </c>
      <c r="I3071"/>
    </row>
    <row r="3072" spans="1:9">
      <c r="A3072" t="s">
        <v>2961</v>
      </c>
      <c r="B3072" s="1" t="str">
        <f>"11011476"</f>
        <v>11011476</v>
      </c>
      <c r="C3072" t="s">
        <v>2963</v>
      </c>
      <c r="D3072" t="s">
        <v>3052</v>
      </c>
      <c r="E3072" s="2">
        <v>0.4</v>
      </c>
      <c r="F3072" t="s">
        <v>12</v>
      </c>
      <c r="G3072" t="s">
        <v>29</v>
      </c>
      <c r="H3072" t="s">
        <v>332</v>
      </c>
      <c r="I3072"/>
    </row>
    <row r="3073" spans="1:9">
      <c r="A3073" t="s">
        <v>2961</v>
      </c>
      <c r="B3073" s="1" t="str">
        <f>"11011456"</f>
        <v>11011456</v>
      </c>
      <c r="C3073" t="s">
        <v>2963</v>
      </c>
      <c r="D3073" t="s">
        <v>3053</v>
      </c>
      <c r="E3073" s="2">
        <v>0.43</v>
      </c>
      <c r="F3073" t="s">
        <v>12</v>
      </c>
      <c r="G3073" t="s">
        <v>29</v>
      </c>
      <c r="H3073" t="s">
        <v>332</v>
      </c>
      <c r="I3073"/>
    </row>
    <row r="3074" spans="1:9">
      <c r="A3074" t="s">
        <v>2961</v>
      </c>
      <c r="B3074" s="1" t="str">
        <f>"11010221"</f>
        <v>11010221</v>
      </c>
      <c r="C3074" t="s">
        <v>2963</v>
      </c>
      <c r="D3074" t="s">
        <v>3054</v>
      </c>
      <c r="E3074" s="2">
        <v>0.452</v>
      </c>
      <c r="F3074" t="s">
        <v>12</v>
      </c>
      <c r="G3074" t="s">
        <v>25</v>
      </c>
      <c r="H3074" t="s">
        <v>332</v>
      </c>
      <c r="I3074"/>
    </row>
    <row r="3075" spans="1:9">
      <c r="A3075" t="s">
        <v>2961</v>
      </c>
      <c r="B3075" s="1" t="str">
        <f>"11010345"</f>
        <v>11010345</v>
      </c>
      <c r="C3075" t="s">
        <v>2963</v>
      </c>
      <c r="D3075" t="s">
        <v>3055</v>
      </c>
      <c r="E3075" s="2">
        <v>0.4</v>
      </c>
      <c r="F3075" t="s">
        <v>2737</v>
      </c>
      <c r="G3075" t="s">
        <v>29</v>
      </c>
      <c r="H3075" t="s">
        <v>332</v>
      </c>
      <c r="I3075"/>
    </row>
    <row r="3076" spans="1:9">
      <c r="A3076" t="s">
        <v>3056</v>
      </c>
      <c r="B3076" s="1" t="str">
        <f>"11011478"</f>
        <v>11011478</v>
      </c>
      <c r="C3076" t="s">
        <v>2963</v>
      </c>
      <c r="D3076" t="s">
        <v>2964</v>
      </c>
      <c r="E3076" s="2">
        <v>0.4</v>
      </c>
      <c r="F3076" t="s">
        <v>2737</v>
      </c>
      <c r="G3076" t="s">
        <v>25</v>
      </c>
      <c r="H3076" t="s">
        <v>332</v>
      </c>
      <c r="I3076"/>
    </row>
    <row r="3077" spans="1:9">
      <c r="A3077" t="s">
        <v>3056</v>
      </c>
      <c r="B3077" s="1" t="str">
        <f>"11011526"</f>
        <v>11011526</v>
      </c>
      <c r="C3077" t="s">
        <v>2963</v>
      </c>
      <c r="D3077" t="s">
        <v>2975</v>
      </c>
      <c r="E3077" s="2">
        <v>0.463</v>
      </c>
      <c r="F3077" t="s">
        <v>2737</v>
      </c>
      <c r="G3077" t="s">
        <v>25</v>
      </c>
      <c r="H3077" t="s">
        <v>332</v>
      </c>
      <c r="I3077"/>
    </row>
    <row r="3078" spans="1:9">
      <c r="A3078" t="s">
        <v>3056</v>
      </c>
      <c r="B3078" s="1" t="str">
        <f>"11010185"</f>
        <v>11010185</v>
      </c>
      <c r="C3078" t="s">
        <v>2963</v>
      </c>
      <c r="D3078" t="s">
        <v>2984</v>
      </c>
      <c r="E3078" s="2">
        <v>0.4</v>
      </c>
      <c r="F3078" t="s">
        <v>2737</v>
      </c>
      <c r="G3078" t="s">
        <v>25</v>
      </c>
      <c r="H3078" t="s">
        <v>332</v>
      </c>
      <c r="I3078"/>
    </row>
    <row r="3079" spans="1:9">
      <c r="A3079" t="s">
        <v>3056</v>
      </c>
      <c r="B3079" s="1" t="str">
        <f>"11051124"</f>
        <v>11051124</v>
      </c>
      <c r="C3079" t="s">
        <v>2963</v>
      </c>
      <c r="D3079" t="s">
        <v>2986</v>
      </c>
      <c r="E3079" s="2">
        <v>0.43</v>
      </c>
      <c r="F3079" t="s">
        <v>2737</v>
      </c>
      <c r="G3079" t="s">
        <v>25</v>
      </c>
      <c r="H3079" t="s">
        <v>332</v>
      </c>
      <c r="I3079"/>
    </row>
    <row r="3080" spans="1:9">
      <c r="A3080" t="s">
        <v>3056</v>
      </c>
      <c r="B3080" s="1" t="str">
        <f>"11011525"</f>
        <v>11011525</v>
      </c>
      <c r="C3080" t="s">
        <v>2963</v>
      </c>
      <c r="D3080" t="s">
        <v>2989</v>
      </c>
      <c r="E3080" s="2">
        <v>0.4</v>
      </c>
      <c r="F3080" t="s">
        <v>2737</v>
      </c>
      <c r="G3080" t="s">
        <v>29</v>
      </c>
      <c r="H3080" t="s">
        <v>332</v>
      </c>
      <c r="I3080"/>
    </row>
    <row r="3081" spans="1:9">
      <c r="A3081" t="s">
        <v>3056</v>
      </c>
      <c r="B3081" s="1" t="str">
        <f>"11011524"</f>
        <v>11011524</v>
      </c>
      <c r="C3081" t="s">
        <v>2963</v>
      </c>
      <c r="D3081" t="s">
        <v>2990</v>
      </c>
      <c r="E3081" s="2">
        <v>0.4</v>
      </c>
      <c r="F3081" t="s">
        <v>2737</v>
      </c>
      <c r="G3081" t="s">
        <v>29</v>
      </c>
      <c r="H3081" t="s">
        <v>332</v>
      </c>
      <c r="I3081"/>
    </row>
    <row r="3082" spans="1:9">
      <c r="A3082" t="s">
        <v>3056</v>
      </c>
      <c r="B3082" s="1" t="str">
        <f>"11011464"</f>
        <v>11011464</v>
      </c>
      <c r="C3082" t="s">
        <v>2963</v>
      </c>
      <c r="D3082" t="s">
        <v>2992</v>
      </c>
      <c r="E3082" s="2">
        <v>0.4</v>
      </c>
      <c r="F3082" t="s">
        <v>12</v>
      </c>
      <c r="G3082" t="s">
        <v>25</v>
      </c>
      <c r="H3082" t="s">
        <v>332</v>
      </c>
      <c r="I3082"/>
    </row>
    <row r="3083" spans="1:9">
      <c r="A3083" t="s">
        <v>3056</v>
      </c>
      <c r="B3083" s="1" t="str">
        <f>"11010346"</f>
        <v>11010346</v>
      </c>
      <c r="C3083" t="s">
        <v>2963</v>
      </c>
      <c r="D3083" t="s">
        <v>2993</v>
      </c>
      <c r="E3083" s="2">
        <v>0.4</v>
      </c>
      <c r="F3083" t="s">
        <v>2737</v>
      </c>
      <c r="G3083" t="s">
        <v>2778</v>
      </c>
      <c r="H3083" t="s">
        <v>332</v>
      </c>
      <c r="I3083"/>
    </row>
    <row r="3084" spans="1:9">
      <c r="A3084" t="s">
        <v>3056</v>
      </c>
      <c r="B3084" s="1" t="str">
        <f>"11011455"</f>
        <v>11011455</v>
      </c>
      <c r="C3084" t="s">
        <v>2963</v>
      </c>
      <c r="D3084" t="s">
        <v>2994</v>
      </c>
      <c r="E3084" s="2">
        <v>0.4</v>
      </c>
      <c r="F3084" t="s">
        <v>2737</v>
      </c>
      <c r="G3084" t="s">
        <v>25</v>
      </c>
      <c r="H3084" t="s">
        <v>332</v>
      </c>
      <c r="I3084"/>
    </row>
    <row r="3085" spans="1:9">
      <c r="A3085" t="s">
        <v>3056</v>
      </c>
      <c r="B3085" s="1" t="str">
        <f>"11011496"</f>
        <v>11011496</v>
      </c>
      <c r="C3085" t="s">
        <v>2963</v>
      </c>
      <c r="D3085" t="s">
        <v>3002</v>
      </c>
      <c r="E3085" s="2">
        <v>0.46</v>
      </c>
      <c r="F3085" t="s">
        <v>2737</v>
      </c>
      <c r="G3085" t="s">
        <v>25</v>
      </c>
      <c r="H3085" t="s">
        <v>332</v>
      </c>
      <c r="I3085"/>
    </row>
    <row r="3086" spans="1:9">
      <c r="A3086" t="s">
        <v>3056</v>
      </c>
      <c r="B3086" s="1" t="str">
        <f>"11011460"</f>
        <v>11011460</v>
      </c>
      <c r="C3086" t="s">
        <v>2963</v>
      </c>
      <c r="D3086" t="s">
        <v>3003</v>
      </c>
      <c r="E3086" s="2">
        <v>0.4</v>
      </c>
      <c r="F3086" t="s">
        <v>12</v>
      </c>
      <c r="G3086" t="s">
        <v>25</v>
      </c>
      <c r="H3086" t="s">
        <v>332</v>
      </c>
      <c r="I3086"/>
    </row>
    <row r="3087" spans="1:9">
      <c r="A3087" t="s">
        <v>3056</v>
      </c>
      <c r="B3087" s="1" t="str">
        <f>"11089375"</f>
        <v>11089375</v>
      </c>
      <c r="C3087" t="s">
        <v>2963</v>
      </c>
      <c r="D3087" t="s">
        <v>3046</v>
      </c>
      <c r="E3087" s="2">
        <v>0.4</v>
      </c>
      <c r="F3087" t="s">
        <v>2737</v>
      </c>
      <c r="G3087" t="s">
        <v>25</v>
      </c>
      <c r="H3087" t="s">
        <v>332</v>
      </c>
      <c r="I3087"/>
    </row>
    <row r="3088" spans="1:9">
      <c r="A3088" t="s">
        <v>3057</v>
      </c>
      <c r="B3088" s="1" t="str">
        <f>"11011478"</f>
        <v>11011478</v>
      </c>
      <c r="C3088" t="s">
        <v>2963</v>
      </c>
      <c r="D3088" t="s">
        <v>2964</v>
      </c>
      <c r="E3088" s="2">
        <v>0.4</v>
      </c>
      <c r="F3088" t="s">
        <v>2737</v>
      </c>
      <c r="G3088" t="s">
        <v>25</v>
      </c>
      <c r="H3088" t="s">
        <v>332</v>
      </c>
      <c r="I3088"/>
    </row>
    <row r="3089" spans="1:9">
      <c r="A3089" t="s">
        <v>3057</v>
      </c>
      <c r="B3089" s="1" t="str">
        <f>"11011169"</f>
        <v>11011169</v>
      </c>
      <c r="C3089" t="s">
        <v>2963</v>
      </c>
      <c r="D3089" t="s">
        <v>2965</v>
      </c>
      <c r="E3089" s="2">
        <v>0.43</v>
      </c>
      <c r="F3089" t="s">
        <v>2737</v>
      </c>
      <c r="G3089" t="s">
        <v>2778</v>
      </c>
      <c r="H3089" t="s">
        <v>332</v>
      </c>
      <c r="I3089"/>
    </row>
    <row r="3090" spans="1:9">
      <c r="A3090" t="s">
        <v>3058</v>
      </c>
      <c r="B3090" s="1" t="str">
        <f>"11011239"</f>
        <v>11011239</v>
      </c>
      <c r="C3090" t="s">
        <v>260</v>
      </c>
      <c r="D3090" t="s">
        <v>3059</v>
      </c>
      <c r="E3090" s="2">
        <v>0.4</v>
      </c>
      <c r="F3090" t="s">
        <v>12</v>
      </c>
      <c r="G3090" t="s">
        <v>25</v>
      </c>
      <c r="H3090" t="s">
        <v>332</v>
      </c>
      <c r="I3090"/>
    </row>
    <row r="3091" spans="1:9">
      <c r="A3091" t="s">
        <v>3058</v>
      </c>
      <c r="B3091" s="1" t="str">
        <f>"11011306"</f>
        <v>11011306</v>
      </c>
      <c r="C3091" t="s">
        <v>3060</v>
      </c>
      <c r="D3091" t="s">
        <v>3061</v>
      </c>
      <c r="E3091" s="2">
        <v>0.4</v>
      </c>
      <c r="F3091" t="s">
        <v>2737</v>
      </c>
      <c r="G3091" t="s">
        <v>25</v>
      </c>
      <c r="H3091" t="s">
        <v>332</v>
      </c>
      <c r="I3091"/>
    </row>
    <row r="3092" spans="1:9">
      <c r="A3092" t="s">
        <v>3058</v>
      </c>
      <c r="B3092" s="1" t="str">
        <f>"11011124"</f>
        <v>11011124</v>
      </c>
      <c r="C3092" t="s">
        <v>3060</v>
      </c>
      <c r="D3092" t="s">
        <v>3062</v>
      </c>
      <c r="E3092" s="2">
        <v>0.43</v>
      </c>
      <c r="F3092" t="s">
        <v>2737</v>
      </c>
      <c r="G3092" t="s">
        <v>25</v>
      </c>
      <c r="H3092" t="s">
        <v>332</v>
      </c>
      <c r="I3092"/>
    </row>
    <row r="3093" spans="1:9">
      <c r="A3093" t="s">
        <v>3058</v>
      </c>
      <c r="B3093" s="1" t="str">
        <f>"11011259"</f>
        <v>11011259</v>
      </c>
      <c r="C3093" t="s">
        <v>3060</v>
      </c>
      <c r="D3093" t="s">
        <v>3063</v>
      </c>
      <c r="E3093" s="2">
        <v>0.4</v>
      </c>
      <c r="F3093" t="s">
        <v>2737</v>
      </c>
      <c r="G3093" t="s">
        <v>25</v>
      </c>
      <c r="H3093" t="s">
        <v>332</v>
      </c>
      <c r="I3093"/>
    </row>
    <row r="3094" spans="1:9">
      <c r="A3094" t="s">
        <v>3058</v>
      </c>
      <c r="B3094" s="1" t="str">
        <f>"11011260"</f>
        <v>11011260</v>
      </c>
      <c r="C3094" t="s">
        <v>3060</v>
      </c>
      <c r="D3094" t="s">
        <v>3064</v>
      </c>
      <c r="E3094" s="2">
        <v>0.4</v>
      </c>
      <c r="F3094" t="s">
        <v>2737</v>
      </c>
      <c r="G3094" t="s">
        <v>25</v>
      </c>
      <c r="H3094" t="s">
        <v>332</v>
      </c>
      <c r="I3094"/>
    </row>
    <row r="3095" spans="1:9">
      <c r="A3095" t="s">
        <v>3058</v>
      </c>
      <c r="B3095" s="1" t="str">
        <f>"11011258"</f>
        <v>11011258</v>
      </c>
      <c r="C3095" t="s">
        <v>3060</v>
      </c>
      <c r="D3095" t="s">
        <v>3065</v>
      </c>
      <c r="E3095" s="2">
        <v>0.32</v>
      </c>
      <c r="F3095" t="s">
        <v>12</v>
      </c>
      <c r="G3095" t="s">
        <v>25</v>
      </c>
      <c r="H3095" t="s">
        <v>332</v>
      </c>
      <c r="I3095"/>
    </row>
    <row r="3096" spans="1:9">
      <c r="A3096" t="s">
        <v>3058</v>
      </c>
      <c r="B3096" s="1" t="str">
        <f>"11011257"</f>
        <v>11011257</v>
      </c>
      <c r="C3096" t="s">
        <v>3060</v>
      </c>
      <c r="D3096" t="s">
        <v>3066</v>
      </c>
      <c r="E3096" s="2">
        <v>0.32</v>
      </c>
      <c r="F3096" t="s">
        <v>12</v>
      </c>
      <c r="G3096" t="s">
        <v>25</v>
      </c>
      <c r="H3096" t="s">
        <v>332</v>
      </c>
      <c r="I3096"/>
    </row>
    <row r="3097" spans="1:9">
      <c r="A3097" t="s">
        <v>3058</v>
      </c>
      <c r="B3097" s="1" t="str">
        <f>"11011268"</f>
        <v>11011268</v>
      </c>
      <c r="C3097" t="s">
        <v>3060</v>
      </c>
      <c r="D3097" t="s">
        <v>3067</v>
      </c>
      <c r="E3097" s="2">
        <v>0.4</v>
      </c>
      <c r="F3097" t="s">
        <v>2737</v>
      </c>
      <c r="G3097" t="s">
        <v>25</v>
      </c>
      <c r="H3097" t="s">
        <v>332</v>
      </c>
      <c r="I3097"/>
    </row>
    <row r="3098" spans="1:9">
      <c r="A3098" t="s">
        <v>3058</v>
      </c>
      <c r="B3098" s="1" t="str">
        <f>"11011254"</f>
        <v>11011254</v>
      </c>
      <c r="C3098" t="s">
        <v>3060</v>
      </c>
      <c r="D3098" t="s">
        <v>3068</v>
      </c>
      <c r="E3098" s="2">
        <v>0.375</v>
      </c>
      <c r="F3098" t="s">
        <v>12</v>
      </c>
      <c r="G3098" t="s">
        <v>25</v>
      </c>
      <c r="H3098" t="s">
        <v>332</v>
      </c>
      <c r="I3098"/>
    </row>
    <row r="3099" spans="1:9">
      <c r="A3099" t="s">
        <v>3058</v>
      </c>
      <c r="B3099" s="1" t="str">
        <f>"11011215"</f>
        <v>11011215</v>
      </c>
      <c r="C3099" t="s">
        <v>3060</v>
      </c>
      <c r="D3099" t="s">
        <v>3069</v>
      </c>
      <c r="E3099" s="2">
        <v>0.375</v>
      </c>
      <c r="F3099" t="s">
        <v>2917</v>
      </c>
      <c r="G3099" t="s">
        <v>3070</v>
      </c>
      <c r="H3099" t="s">
        <v>3070</v>
      </c>
      <c r="I3099"/>
    </row>
    <row r="3100" spans="1:9">
      <c r="A3100" t="s">
        <v>3058</v>
      </c>
      <c r="B3100" s="1" t="str">
        <f>"11011219"</f>
        <v>11011219</v>
      </c>
      <c r="C3100" t="s">
        <v>3060</v>
      </c>
      <c r="D3100" t="s">
        <v>3071</v>
      </c>
      <c r="E3100" s="2">
        <v>0.4</v>
      </c>
      <c r="F3100" t="s">
        <v>12</v>
      </c>
      <c r="G3100" t="s">
        <v>25</v>
      </c>
      <c r="H3100" t="s">
        <v>332</v>
      </c>
      <c r="I3100"/>
    </row>
    <row r="3101" spans="1:9">
      <c r="A3101" t="s">
        <v>3058</v>
      </c>
      <c r="B3101" s="1" t="str">
        <f>"11011256"</f>
        <v>11011256</v>
      </c>
      <c r="C3101" t="s">
        <v>3060</v>
      </c>
      <c r="D3101" t="s">
        <v>3072</v>
      </c>
      <c r="E3101" s="2">
        <v>0.375</v>
      </c>
      <c r="F3101" t="s">
        <v>12</v>
      </c>
      <c r="G3101" t="s">
        <v>29</v>
      </c>
      <c r="H3101" t="s">
        <v>332</v>
      </c>
      <c r="I3101"/>
    </row>
    <row r="3102" spans="1:9">
      <c r="A3102" t="s">
        <v>3058</v>
      </c>
      <c r="B3102" s="1" t="str">
        <f>"11011243"</f>
        <v>11011243</v>
      </c>
      <c r="C3102" t="s">
        <v>3060</v>
      </c>
      <c r="D3102" t="s">
        <v>3073</v>
      </c>
      <c r="E3102" s="2">
        <v>0.35</v>
      </c>
      <c r="F3102" t="s">
        <v>12</v>
      </c>
      <c r="G3102" t="s">
        <v>25</v>
      </c>
      <c r="H3102" t="s">
        <v>332</v>
      </c>
      <c r="I3102"/>
    </row>
    <row r="3103" spans="1:9">
      <c r="A3103" t="s">
        <v>3058</v>
      </c>
      <c r="B3103" s="1" t="str">
        <f>"11010245"</f>
        <v>11010245</v>
      </c>
      <c r="C3103" t="s">
        <v>3060</v>
      </c>
      <c r="D3103" t="s">
        <v>3074</v>
      </c>
      <c r="E3103" s="2">
        <v>0.4</v>
      </c>
      <c r="F3103" t="s">
        <v>2737</v>
      </c>
      <c r="G3103" t="s">
        <v>2780</v>
      </c>
      <c r="H3103" t="s">
        <v>332</v>
      </c>
      <c r="I3103"/>
    </row>
    <row r="3104" spans="1:9">
      <c r="A3104" t="s">
        <v>3058</v>
      </c>
      <c r="B3104" s="1" t="str">
        <f>"11010246"</f>
        <v>11010246</v>
      </c>
      <c r="C3104" t="s">
        <v>3060</v>
      </c>
      <c r="D3104" t="s">
        <v>3075</v>
      </c>
      <c r="E3104" s="2">
        <v>0.4</v>
      </c>
      <c r="F3104" t="s">
        <v>2737</v>
      </c>
      <c r="G3104" t="s">
        <v>2780</v>
      </c>
      <c r="H3104" t="s">
        <v>332</v>
      </c>
      <c r="I3104"/>
    </row>
    <row r="3105" spans="1:9">
      <c r="A3105" t="s">
        <v>3058</v>
      </c>
      <c r="B3105" s="1" t="str">
        <f>"11011246"</f>
        <v>11011246</v>
      </c>
      <c r="C3105" t="s">
        <v>3060</v>
      </c>
      <c r="D3105" t="s">
        <v>3076</v>
      </c>
      <c r="E3105" s="2">
        <v>0.4</v>
      </c>
      <c r="F3105" t="s">
        <v>12</v>
      </c>
      <c r="G3105" t="s">
        <v>29</v>
      </c>
      <c r="H3105" t="s">
        <v>332</v>
      </c>
      <c r="I3105"/>
    </row>
    <row r="3106" spans="1:9">
      <c r="A3106" t="s">
        <v>3058</v>
      </c>
      <c r="B3106" s="1" t="str">
        <f>"11011221"</f>
        <v>11011221</v>
      </c>
      <c r="C3106" t="s">
        <v>3060</v>
      </c>
      <c r="D3106" t="s">
        <v>3077</v>
      </c>
      <c r="E3106" s="2">
        <v>0.4</v>
      </c>
      <c r="F3106" t="s">
        <v>12</v>
      </c>
      <c r="G3106" t="s">
        <v>29</v>
      </c>
      <c r="H3106" t="s">
        <v>332</v>
      </c>
      <c r="I3106"/>
    </row>
    <row r="3107" spans="1:9">
      <c r="A3107" t="s">
        <v>3058</v>
      </c>
      <c r="B3107" s="1" t="str">
        <f>"11070407"</f>
        <v>11070407</v>
      </c>
      <c r="C3107" t="s">
        <v>3060</v>
      </c>
      <c r="D3107" t="s">
        <v>3078</v>
      </c>
      <c r="E3107" s="2">
        <v>0.35</v>
      </c>
      <c r="F3107" t="s">
        <v>12</v>
      </c>
      <c r="G3107" t="s">
        <v>25</v>
      </c>
      <c r="H3107" t="s">
        <v>332</v>
      </c>
      <c r="I3107"/>
    </row>
    <row r="3108" spans="1:9">
      <c r="A3108" t="s">
        <v>3058</v>
      </c>
      <c r="B3108" s="1" t="str">
        <f>"11011247"</f>
        <v>11011247</v>
      </c>
      <c r="C3108" t="s">
        <v>3060</v>
      </c>
      <c r="D3108" t="s">
        <v>3079</v>
      </c>
      <c r="E3108" s="2">
        <v>0.375</v>
      </c>
      <c r="F3108" t="s">
        <v>12</v>
      </c>
      <c r="G3108" t="s">
        <v>25</v>
      </c>
      <c r="H3108" t="s">
        <v>332</v>
      </c>
      <c r="I3108"/>
    </row>
    <row r="3109" spans="1:9">
      <c r="A3109" t="s">
        <v>3058</v>
      </c>
      <c r="B3109" s="1" t="str">
        <f>"11010196"</f>
        <v>11010196</v>
      </c>
      <c r="C3109" t="s">
        <v>3060</v>
      </c>
      <c r="D3109" t="s">
        <v>3080</v>
      </c>
      <c r="E3109" s="2">
        <v>0.4</v>
      </c>
      <c r="F3109" t="s">
        <v>2737</v>
      </c>
      <c r="G3109" t="s">
        <v>25</v>
      </c>
      <c r="H3109" t="s">
        <v>332</v>
      </c>
      <c r="I3109"/>
    </row>
    <row r="3110" spans="1:9">
      <c r="A3110" t="s">
        <v>3058</v>
      </c>
      <c r="B3110" s="1" t="str">
        <f>"11010268"</f>
        <v>11010268</v>
      </c>
      <c r="C3110" t="s">
        <v>3060</v>
      </c>
      <c r="D3110" t="s">
        <v>3081</v>
      </c>
      <c r="E3110" s="2">
        <v>0.4</v>
      </c>
      <c r="F3110" t="s">
        <v>2737</v>
      </c>
      <c r="G3110" t="s">
        <v>25</v>
      </c>
      <c r="H3110" t="s">
        <v>332</v>
      </c>
      <c r="I3110"/>
    </row>
    <row r="3111" spans="1:9">
      <c r="A3111" t="s">
        <v>3058</v>
      </c>
      <c r="B3111" s="1" t="str">
        <f>"11010269"</f>
        <v>11010269</v>
      </c>
      <c r="C3111" t="s">
        <v>3060</v>
      </c>
      <c r="D3111" t="s">
        <v>3082</v>
      </c>
      <c r="E3111" s="2">
        <v>0.4</v>
      </c>
      <c r="F3111" t="s">
        <v>2737</v>
      </c>
      <c r="G3111" t="s">
        <v>25</v>
      </c>
      <c r="H3111" t="s">
        <v>332</v>
      </c>
      <c r="I3111"/>
    </row>
    <row r="3112" spans="1:9">
      <c r="A3112" t="s">
        <v>3058</v>
      </c>
      <c r="B3112" s="1" t="str">
        <f>"11011193"</f>
        <v>11011193</v>
      </c>
      <c r="C3112" t="s">
        <v>3060</v>
      </c>
      <c r="D3112" t="s">
        <v>3083</v>
      </c>
      <c r="E3112" s="2">
        <v>0.43</v>
      </c>
      <c r="F3112" t="s">
        <v>2737</v>
      </c>
      <c r="G3112" t="s">
        <v>25</v>
      </c>
      <c r="H3112" t="s">
        <v>332</v>
      </c>
      <c r="I3112"/>
    </row>
    <row r="3113" spans="1:9">
      <c r="A3113" t="s">
        <v>3058</v>
      </c>
      <c r="B3113" s="1" t="str">
        <f>"11011204"</f>
        <v>11011204</v>
      </c>
      <c r="C3113" t="s">
        <v>3060</v>
      </c>
      <c r="D3113" t="s">
        <v>3084</v>
      </c>
      <c r="E3113" s="2">
        <v>0.4</v>
      </c>
      <c r="F3113" t="s">
        <v>12</v>
      </c>
      <c r="G3113" t="s">
        <v>25</v>
      </c>
      <c r="H3113" t="s">
        <v>332</v>
      </c>
      <c r="I3113"/>
    </row>
    <row r="3114" spans="1:9">
      <c r="A3114" t="s">
        <v>3058</v>
      </c>
      <c r="B3114" s="1" t="str">
        <f>"11011271"</f>
        <v>11011271</v>
      </c>
      <c r="C3114" t="s">
        <v>3060</v>
      </c>
      <c r="D3114" t="s">
        <v>3085</v>
      </c>
      <c r="E3114" s="2">
        <v>0.375</v>
      </c>
      <c r="F3114" t="s">
        <v>12</v>
      </c>
      <c r="G3114" t="s">
        <v>25</v>
      </c>
      <c r="H3114" t="s">
        <v>332</v>
      </c>
      <c r="I3114"/>
    </row>
    <row r="3115" spans="1:9">
      <c r="A3115" t="s">
        <v>3058</v>
      </c>
      <c r="B3115" s="1" t="str">
        <f>"11719254"</f>
        <v>11719254</v>
      </c>
      <c r="C3115" t="s">
        <v>3060</v>
      </c>
      <c r="D3115" t="s">
        <v>3086</v>
      </c>
      <c r="E3115" s="2">
        <v>0.4</v>
      </c>
      <c r="F3115" t="s">
        <v>12</v>
      </c>
      <c r="G3115" t="s">
        <v>29</v>
      </c>
      <c r="H3115" t="s">
        <v>332</v>
      </c>
      <c r="I3115"/>
    </row>
    <row r="3116" spans="1:9">
      <c r="A3116" t="s">
        <v>3058</v>
      </c>
      <c r="B3116" s="1" t="str">
        <f>"11011249"</f>
        <v>11011249</v>
      </c>
      <c r="C3116" t="s">
        <v>3060</v>
      </c>
      <c r="D3116" t="s">
        <v>3087</v>
      </c>
      <c r="E3116" s="2">
        <v>0.375</v>
      </c>
      <c r="F3116" t="s">
        <v>2947</v>
      </c>
      <c r="G3116" t="s">
        <v>332</v>
      </c>
      <c r="H3116" t="s">
        <v>332</v>
      </c>
      <c r="I3116"/>
    </row>
    <row r="3117" spans="1:9">
      <c r="A3117" t="s">
        <v>3058</v>
      </c>
      <c r="B3117" s="1" t="str">
        <f>"11011233"</f>
        <v>11011233</v>
      </c>
      <c r="C3117" t="s">
        <v>3060</v>
      </c>
      <c r="D3117" t="s">
        <v>3088</v>
      </c>
      <c r="E3117" s="2">
        <v>0.4</v>
      </c>
      <c r="F3117" t="s">
        <v>12</v>
      </c>
      <c r="G3117" t="s">
        <v>25</v>
      </c>
      <c r="H3117" t="s">
        <v>332</v>
      </c>
      <c r="I3117"/>
    </row>
    <row r="3118" spans="1:9">
      <c r="A3118" t="s">
        <v>3058</v>
      </c>
      <c r="B3118" s="1" t="str">
        <f>"11011237"</f>
        <v>11011237</v>
      </c>
      <c r="C3118" t="s">
        <v>3060</v>
      </c>
      <c r="D3118" t="s">
        <v>3089</v>
      </c>
      <c r="E3118" s="2">
        <v>0.45</v>
      </c>
      <c r="F3118" t="s">
        <v>2737</v>
      </c>
      <c r="G3118" t="s">
        <v>25</v>
      </c>
      <c r="H3118" t="s">
        <v>332</v>
      </c>
      <c r="I3118"/>
    </row>
    <row r="3119" spans="1:9">
      <c r="A3119" t="s">
        <v>3058</v>
      </c>
      <c r="B3119" s="1" t="str">
        <f>"11011311"</f>
        <v>11011311</v>
      </c>
      <c r="C3119" t="s">
        <v>3060</v>
      </c>
      <c r="D3119" t="s">
        <v>3090</v>
      </c>
      <c r="E3119" s="2">
        <v>0.4</v>
      </c>
      <c r="F3119" t="s">
        <v>2737</v>
      </c>
      <c r="G3119"/>
      <c r="H3119" t="s">
        <v>332</v>
      </c>
      <c r="I3119"/>
    </row>
    <row r="3120" spans="1:9">
      <c r="A3120" t="s">
        <v>3058</v>
      </c>
      <c r="B3120" s="1" t="str">
        <f>"11011312"</f>
        <v>11011312</v>
      </c>
      <c r="C3120" t="s">
        <v>3060</v>
      </c>
      <c r="D3120" t="s">
        <v>3091</v>
      </c>
      <c r="E3120" s="2">
        <v>0.4</v>
      </c>
      <c r="F3120" t="s">
        <v>2737</v>
      </c>
      <c r="G3120"/>
      <c r="H3120" t="s">
        <v>332</v>
      </c>
      <c r="I3120"/>
    </row>
    <row r="3121" spans="1:9">
      <c r="A3121" t="s">
        <v>3058</v>
      </c>
      <c r="B3121" s="1" t="str">
        <f>"11011313"</f>
        <v>11011313</v>
      </c>
      <c r="C3121" t="s">
        <v>3060</v>
      </c>
      <c r="D3121" t="s">
        <v>3092</v>
      </c>
      <c r="E3121" s="2">
        <v>0.4</v>
      </c>
      <c r="F3121" t="s">
        <v>2737</v>
      </c>
      <c r="G3121"/>
      <c r="H3121" t="s">
        <v>332</v>
      </c>
      <c r="I3121"/>
    </row>
    <row r="3122" spans="1:9">
      <c r="A3122" t="s">
        <v>3058</v>
      </c>
      <c r="B3122" s="1" t="str">
        <f>"11011314"</f>
        <v>11011314</v>
      </c>
      <c r="C3122" t="s">
        <v>3060</v>
      </c>
      <c r="D3122" t="s">
        <v>3093</v>
      </c>
      <c r="E3122" s="2">
        <v>0.4</v>
      </c>
      <c r="F3122" t="s">
        <v>2737</v>
      </c>
      <c r="G3122"/>
      <c r="H3122" t="s">
        <v>332</v>
      </c>
      <c r="I3122"/>
    </row>
    <row r="3123" spans="1:9">
      <c r="A3123" t="s">
        <v>3058</v>
      </c>
      <c r="B3123" s="1" t="str">
        <f>"11011315"</f>
        <v>11011315</v>
      </c>
      <c r="C3123" t="s">
        <v>3060</v>
      </c>
      <c r="D3123" t="s">
        <v>3094</v>
      </c>
      <c r="E3123" s="2">
        <v>0.4</v>
      </c>
      <c r="F3123" t="s">
        <v>2737</v>
      </c>
      <c r="G3123"/>
      <c r="H3123" t="s">
        <v>332</v>
      </c>
      <c r="I3123"/>
    </row>
    <row r="3124" spans="1:9">
      <c r="A3124" t="s">
        <v>3058</v>
      </c>
      <c r="B3124" s="1" t="str">
        <f>"11011316"</f>
        <v>11011316</v>
      </c>
      <c r="C3124" t="s">
        <v>3060</v>
      </c>
      <c r="D3124" t="s">
        <v>3095</v>
      </c>
      <c r="E3124" s="2">
        <v>0.4</v>
      </c>
      <c r="F3124" t="s">
        <v>2737</v>
      </c>
      <c r="G3124"/>
      <c r="H3124" t="s">
        <v>332</v>
      </c>
      <c r="I3124"/>
    </row>
    <row r="3125" spans="1:9">
      <c r="A3125" t="s">
        <v>3058</v>
      </c>
      <c r="B3125" s="1" t="str">
        <f>"11011309"</f>
        <v>11011309</v>
      </c>
      <c r="C3125" t="s">
        <v>3060</v>
      </c>
      <c r="D3125" t="s">
        <v>3096</v>
      </c>
      <c r="E3125" s="2">
        <v>0.4</v>
      </c>
      <c r="F3125" t="s">
        <v>12</v>
      </c>
      <c r="G3125"/>
      <c r="H3125" t="s">
        <v>332</v>
      </c>
      <c r="I3125"/>
    </row>
    <row r="3126" spans="1:9">
      <c r="A3126" t="s">
        <v>3058</v>
      </c>
      <c r="B3126" s="1" t="str">
        <f>"11011310"</f>
        <v>11011310</v>
      </c>
      <c r="C3126" t="s">
        <v>3060</v>
      </c>
      <c r="D3126" t="s">
        <v>3097</v>
      </c>
      <c r="E3126" s="2">
        <v>0.4</v>
      </c>
      <c r="F3126" t="s">
        <v>2737</v>
      </c>
      <c r="G3126"/>
      <c r="H3126" t="s">
        <v>332</v>
      </c>
      <c r="I3126"/>
    </row>
    <row r="3127" spans="1:9">
      <c r="A3127" t="s">
        <v>3058</v>
      </c>
      <c r="B3127" s="1" t="str">
        <f>"11011320"</f>
        <v>11011320</v>
      </c>
      <c r="C3127" t="s">
        <v>3060</v>
      </c>
      <c r="D3127" t="s">
        <v>3098</v>
      </c>
      <c r="E3127" s="2">
        <v>0.375</v>
      </c>
      <c r="F3127" t="s">
        <v>12</v>
      </c>
      <c r="G3127"/>
      <c r="H3127" t="s">
        <v>332</v>
      </c>
      <c r="I3127"/>
    </row>
    <row r="3128" spans="1:9">
      <c r="A3128" t="s">
        <v>3058</v>
      </c>
      <c r="B3128" s="1" t="str">
        <f>"11011321"</f>
        <v>11011321</v>
      </c>
      <c r="C3128" t="s">
        <v>3060</v>
      </c>
      <c r="D3128" t="s">
        <v>3099</v>
      </c>
      <c r="E3128" s="2">
        <v>0.4</v>
      </c>
      <c r="F3128" t="s">
        <v>1477</v>
      </c>
      <c r="G3128" t="s">
        <v>3100</v>
      </c>
      <c r="H3128" t="s">
        <v>3101</v>
      </c>
      <c r="I3128"/>
    </row>
    <row r="3129" spans="1:9">
      <c r="A3129" t="s">
        <v>3058</v>
      </c>
      <c r="B3129" s="1" t="str">
        <f>"11011322"</f>
        <v>11011322</v>
      </c>
      <c r="C3129" t="s">
        <v>3060</v>
      </c>
      <c r="D3129" t="s">
        <v>3102</v>
      </c>
      <c r="E3129" s="2">
        <v>0.505</v>
      </c>
      <c r="F3129" t="s">
        <v>2737</v>
      </c>
      <c r="G3129"/>
      <c r="H3129" t="s">
        <v>332</v>
      </c>
      <c r="I3129"/>
    </row>
    <row r="3130" spans="1:9">
      <c r="A3130" t="s">
        <v>3058</v>
      </c>
      <c r="B3130" s="1" t="str">
        <f>"11011323"</f>
        <v>11011323</v>
      </c>
      <c r="C3130" t="s">
        <v>3060</v>
      </c>
      <c r="D3130" t="s">
        <v>3103</v>
      </c>
      <c r="E3130" s="2">
        <v>0.484</v>
      </c>
      <c r="F3130" t="s">
        <v>2737</v>
      </c>
      <c r="G3130"/>
      <c r="H3130" t="s">
        <v>332</v>
      </c>
      <c r="I3130"/>
    </row>
    <row r="3131" spans="1:9">
      <c r="A3131" t="s">
        <v>3058</v>
      </c>
      <c r="B3131" s="1" t="str">
        <f>"11011317"</f>
        <v>11011317</v>
      </c>
      <c r="C3131" t="s">
        <v>3060</v>
      </c>
      <c r="D3131" t="s">
        <v>3104</v>
      </c>
      <c r="E3131" s="2">
        <v>0.4</v>
      </c>
      <c r="F3131" t="s">
        <v>2737</v>
      </c>
      <c r="G3131"/>
      <c r="H3131" t="s">
        <v>332</v>
      </c>
      <c r="I3131"/>
    </row>
    <row r="3132" spans="1:9">
      <c r="A3132" t="s">
        <v>3058</v>
      </c>
      <c r="B3132" s="1" t="str">
        <f>"11011318"</f>
        <v>11011318</v>
      </c>
      <c r="C3132" t="s">
        <v>3060</v>
      </c>
      <c r="D3132" t="s">
        <v>3105</v>
      </c>
      <c r="E3132" s="2">
        <v>0.4</v>
      </c>
      <c r="F3132" t="s">
        <v>2737</v>
      </c>
      <c r="G3132"/>
      <c r="H3132" t="s">
        <v>332</v>
      </c>
      <c r="I3132"/>
    </row>
    <row r="3133" spans="1:9">
      <c r="A3133" t="s">
        <v>3058</v>
      </c>
      <c r="B3133" s="1" t="str">
        <f>"11011319"</f>
        <v>11011319</v>
      </c>
      <c r="C3133" t="s">
        <v>3060</v>
      </c>
      <c r="D3133" t="s">
        <v>3106</v>
      </c>
      <c r="E3133" s="2">
        <v>0.4</v>
      </c>
      <c r="F3133" t="s">
        <v>2737</v>
      </c>
      <c r="G3133"/>
      <c r="H3133" t="s">
        <v>332</v>
      </c>
      <c r="I3133"/>
    </row>
    <row r="3134" spans="1:9">
      <c r="A3134" t="s">
        <v>3058</v>
      </c>
      <c r="B3134" s="1" t="str">
        <f>"11011299"</f>
        <v>11011299</v>
      </c>
      <c r="C3134" t="s">
        <v>3060</v>
      </c>
      <c r="D3134" t="s">
        <v>3107</v>
      </c>
      <c r="E3134" s="2">
        <v>0.4</v>
      </c>
      <c r="F3134" t="s">
        <v>12</v>
      </c>
      <c r="G3134" t="s">
        <v>25</v>
      </c>
      <c r="H3134" t="s">
        <v>332</v>
      </c>
      <c r="I3134"/>
    </row>
    <row r="3135" spans="1:9">
      <c r="A3135" t="s">
        <v>3058</v>
      </c>
      <c r="B3135" s="1" t="str">
        <f>"11011220"</f>
        <v>11011220</v>
      </c>
      <c r="C3135" t="s">
        <v>3060</v>
      </c>
      <c r="D3135" t="s">
        <v>3108</v>
      </c>
      <c r="E3135" s="2">
        <v>0.4</v>
      </c>
      <c r="F3135" t="s">
        <v>12</v>
      </c>
      <c r="G3135" t="s">
        <v>29</v>
      </c>
      <c r="H3135" t="s">
        <v>332</v>
      </c>
      <c r="I3135"/>
    </row>
    <row r="3136" spans="1:9">
      <c r="A3136" t="s">
        <v>3058</v>
      </c>
      <c r="B3136" s="1" t="str">
        <f>"11011328"</f>
        <v>11011328</v>
      </c>
      <c r="C3136" t="s">
        <v>3060</v>
      </c>
      <c r="D3136" t="s">
        <v>3109</v>
      </c>
      <c r="E3136" s="2">
        <v>0.54</v>
      </c>
      <c r="F3136" t="s">
        <v>2737</v>
      </c>
      <c r="G3136" t="s">
        <v>25</v>
      </c>
      <c r="H3136" t="s">
        <v>332</v>
      </c>
      <c r="I3136"/>
    </row>
    <row r="3137" spans="1:9">
      <c r="A3137" t="s">
        <v>3058</v>
      </c>
      <c r="B3137" s="1" t="str">
        <f>"11011261"</f>
        <v>11011261</v>
      </c>
      <c r="C3137" t="s">
        <v>3060</v>
      </c>
      <c r="D3137" t="s">
        <v>3110</v>
      </c>
      <c r="E3137" s="2">
        <v>0.4</v>
      </c>
      <c r="F3137" t="s">
        <v>2737</v>
      </c>
      <c r="G3137" t="s">
        <v>25</v>
      </c>
      <c r="H3137" t="s">
        <v>332</v>
      </c>
      <c r="I3137"/>
    </row>
    <row r="3138" spans="1:9">
      <c r="A3138" t="s">
        <v>3058</v>
      </c>
      <c r="B3138" s="1" t="str">
        <f>"11010182"</f>
        <v>11010182</v>
      </c>
      <c r="C3138" t="s">
        <v>3060</v>
      </c>
      <c r="D3138" t="s">
        <v>3111</v>
      </c>
      <c r="E3138" s="2">
        <v>0.4</v>
      </c>
      <c r="F3138" t="s">
        <v>2737</v>
      </c>
      <c r="G3138" t="s">
        <v>25</v>
      </c>
      <c r="H3138" t="s">
        <v>332</v>
      </c>
      <c r="I3138"/>
    </row>
    <row r="3139" spans="1:9">
      <c r="A3139" t="s">
        <v>3058</v>
      </c>
      <c r="B3139" s="1" t="str">
        <f>"11010280"</f>
        <v>11010280</v>
      </c>
      <c r="C3139" t="s">
        <v>3060</v>
      </c>
      <c r="D3139" t="s">
        <v>3112</v>
      </c>
      <c r="E3139" s="2">
        <v>0.4</v>
      </c>
      <c r="F3139" t="s">
        <v>2737</v>
      </c>
      <c r="G3139" t="s">
        <v>25</v>
      </c>
      <c r="H3139" t="s">
        <v>332</v>
      </c>
      <c r="I3139"/>
    </row>
    <row r="3140" spans="1:9">
      <c r="A3140" t="s">
        <v>3058</v>
      </c>
      <c r="B3140" s="1" t="str">
        <f>"11011194"</f>
        <v>11011194</v>
      </c>
      <c r="C3140" t="s">
        <v>3060</v>
      </c>
      <c r="D3140" t="s">
        <v>3113</v>
      </c>
      <c r="E3140" s="2">
        <v>0.4</v>
      </c>
      <c r="F3140" t="s">
        <v>2737</v>
      </c>
      <c r="G3140" t="s">
        <v>25</v>
      </c>
      <c r="H3140" t="s">
        <v>332</v>
      </c>
      <c r="I3140"/>
    </row>
    <row r="3141" spans="1:9">
      <c r="A3141" t="s">
        <v>3058</v>
      </c>
      <c r="B3141" s="1" t="str">
        <f>"11011304"</f>
        <v>11011304</v>
      </c>
      <c r="C3141" t="s">
        <v>3060</v>
      </c>
      <c r="D3141" t="s">
        <v>3114</v>
      </c>
      <c r="E3141" s="2">
        <v>0.4</v>
      </c>
      <c r="F3141" t="s">
        <v>12</v>
      </c>
      <c r="G3141" t="s">
        <v>25</v>
      </c>
      <c r="H3141" t="s">
        <v>332</v>
      </c>
      <c r="I3141"/>
    </row>
    <row r="3142" spans="1:9">
      <c r="A3142" t="s">
        <v>3058</v>
      </c>
      <c r="B3142" s="1" t="str">
        <f>"11011300"</f>
        <v>11011300</v>
      </c>
      <c r="C3142" t="s">
        <v>3060</v>
      </c>
      <c r="D3142" t="s">
        <v>3115</v>
      </c>
      <c r="E3142" s="2">
        <v>0.8</v>
      </c>
      <c r="F3142" t="s">
        <v>12</v>
      </c>
      <c r="G3142" t="s">
        <v>25</v>
      </c>
      <c r="H3142" t="s">
        <v>332</v>
      </c>
      <c r="I3142"/>
    </row>
    <row r="3143" spans="1:9">
      <c r="A3143" t="s">
        <v>3058</v>
      </c>
      <c r="B3143" s="1" t="str">
        <f>"11011301"</f>
        <v>11011301</v>
      </c>
      <c r="C3143" t="s">
        <v>3060</v>
      </c>
      <c r="D3143" t="s">
        <v>3115</v>
      </c>
      <c r="E3143" s="2">
        <v>0.6</v>
      </c>
      <c r="F3143" t="s">
        <v>12</v>
      </c>
      <c r="G3143" t="s">
        <v>25</v>
      </c>
      <c r="H3143" t="s">
        <v>332</v>
      </c>
      <c r="I3143"/>
    </row>
    <row r="3144" spans="1:9">
      <c r="A3144" t="s">
        <v>3058</v>
      </c>
      <c r="B3144" s="1" t="str">
        <f>"11011307"</f>
        <v>11011307</v>
      </c>
      <c r="C3144" t="s">
        <v>3060</v>
      </c>
      <c r="D3144" t="s">
        <v>3115</v>
      </c>
      <c r="E3144" s="2">
        <v>0.4</v>
      </c>
      <c r="F3144" t="s">
        <v>12</v>
      </c>
      <c r="G3144" t="s">
        <v>25</v>
      </c>
      <c r="H3144" t="s">
        <v>332</v>
      </c>
      <c r="I3144"/>
    </row>
    <row r="3145" spans="1:9">
      <c r="A3145" t="s">
        <v>3058</v>
      </c>
      <c r="B3145" s="1" t="str">
        <f>"11011203"</f>
        <v>11011203</v>
      </c>
      <c r="C3145" t="s">
        <v>3060</v>
      </c>
      <c r="D3145" t="s">
        <v>3116</v>
      </c>
      <c r="E3145" s="2">
        <v>0.4</v>
      </c>
      <c r="F3145" t="s">
        <v>12</v>
      </c>
      <c r="G3145" t="s">
        <v>25</v>
      </c>
      <c r="H3145" t="s">
        <v>332</v>
      </c>
      <c r="I3145"/>
    </row>
    <row r="3146" spans="1:9">
      <c r="A3146" t="s">
        <v>3058</v>
      </c>
      <c r="B3146" s="1" t="str">
        <f>"11011325"</f>
        <v>11011325</v>
      </c>
      <c r="C3146" t="s">
        <v>3060</v>
      </c>
      <c r="D3146" t="s">
        <v>3117</v>
      </c>
      <c r="E3146" s="2">
        <v>0.412</v>
      </c>
      <c r="F3146" t="s">
        <v>24</v>
      </c>
      <c r="G3146" t="s">
        <v>3118</v>
      </c>
      <c r="H3146" t="s">
        <v>3119</v>
      </c>
      <c r="I3146"/>
    </row>
    <row r="3147" spans="1:9">
      <c r="A3147" t="s">
        <v>3120</v>
      </c>
      <c r="B3147" s="1" t="str">
        <f>"11010189"</f>
        <v>11010189</v>
      </c>
      <c r="C3147" t="s">
        <v>2912</v>
      </c>
      <c r="D3147" t="s">
        <v>3121</v>
      </c>
      <c r="E3147" s="2">
        <v>0.46</v>
      </c>
      <c r="F3147" t="s">
        <v>12</v>
      </c>
      <c r="G3147" t="s">
        <v>25</v>
      </c>
      <c r="H3147" t="s">
        <v>332</v>
      </c>
      <c r="I3147"/>
    </row>
    <row r="3148" spans="1:9">
      <c r="A3148" t="s">
        <v>3120</v>
      </c>
      <c r="B3148" s="1" t="str">
        <f>"11420672"</f>
        <v>11420672</v>
      </c>
      <c r="C3148" t="s">
        <v>2912</v>
      </c>
      <c r="D3148" t="s">
        <v>3122</v>
      </c>
      <c r="E3148" s="2">
        <v>0.47</v>
      </c>
      <c r="F3148" t="s">
        <v>12</v>
      </c>
      <c r="G3148" t="s">
        <v>29</v>
      </c>
      <c r="H3148" t="s">
        <v>332</v>
      </c>
      <c r="I3148"/>
    </row>
    <row r="3149" spans="1:9">
      <c r="A3149" t="s">
        <v>3120</v>
      </c>
      <c r="B3149" s="1" t="str">
        <f>"11011125"</f>
        <v>11011125</v>
      </c>
      <c r="C3149" t="s">
        <v>2912</v>
      </c>
      <c r="D3149" t="s">
        <v>3123</v>
      </c>
      <c r="E3149" s="2">
        <v>0.4</v>
      </c>
      <c r="F3149" t="s">
        <v>12</v>
      </c>
      <c r="G3149" t="s">
        <v>25</v>
      </c>
      <c r="H3149" t="s">
        <v>332</v>
      </c>
      <c r="I3149"/>
    </row>
    <row r="3150" spans="1:9">
      <c r="A3150" t="s">
        <v>3120</v>
      </c>
      <c r="B3150" s="1" t="str">
        <f>"11010538"</f>
        <v>11010538</v>
      </c>
      <c r="C3150" t="s">
        <v>2912</v>
      </c>
      <c r="D3150" t="s">
        <v>3124</v>
      </c>
      <c r="E3150" s="2">
        <v>0.43</v>
      </c>
      <c r="F3150" t="s">
        <v>24</v>
      </c>
      <c r="G3150" t="s">
        <v>2813</v>
      </c>
      <c r="H3150" t="s">
        <v>2997</v>
      </c>
      <c r="I3150"/>
    </row>
    <row r="3151" spans="1:9">
      <c r="A3151" t="s">
        <v>3120</v>
      </c>
      <c r="B3151" s="1" t="str">
        <f>"11710238"</f>
        <v>11710238</v>
      </c>
      <c r="C3151" t="s">
        <v>2912</v>
      </c>
      <c r="D3151" t="s">
        <v>3125</v>
      </c>
      <c r="E3151" s="2">
        <v>0.38</v>
      </c>
      <c r="F3151" t="s">
        <v>12</v>
      </c>
      <c r="G3151" t="s">
        <v>25</v>
      </c>
      <c r="H3151" t="s">
        <v>332</v>
      </c>
      <c r="I3151"/>
    </row>
    <row r="3152" spans="1:9">
      <c r="A3152" t="s">
        <v>3120</v>
      </c>
      <c r="B3152" s="1" t="str">
        <f>"11710020"</f>
        <v>11710020</v>
      </c>
      <c r="C3152" t="s">
        <v>2912</v>
      </c>
      <c r="D3152" t="s">
        <v>3126</v>
      </c>
      <c r="E3152" s="2">
        <v>0.35</v>
      </c>
      <c r="F3152" t="s">
        <v>12</v>
      </c>
      <c r="G3152" t="s">
        <v>25</v>
      </c>
      <c r="H3152" t="s">
        <v>332</v>
      </c>
      <c r="I3152"/>
    </row>
    <row r="3153" spans="1:9">
      <c r="A3153" t="s">
        <v>3120</v>
      </c>
      <c r="B3153" s="1" t="str">
        <f>"11010529"</f>
        <v>11010529</v>
      </c>
      <c r="C3153" t="s">
        <v>2912</v>
      </c>
      <c r="D3153" t="s">
        <v>3127</v>
      </c>
      <c r="E3153" s="2">
        <v>0.47</v>
      </c>
      <c r="F3153" t="s">
        <v>12</v>
      </c>
      <c r="G3153" t="s">
        <v>29</v>
      </c>
      <c r="H3153" t="s">
        <v>332</v>
      </c>
      <c r="I3153"/>
    </row>
    <row r="3154" spans="1:9">
      <c r="A3154" t="s">
        <v>3120</v>
      </c>
      <c r="B3154" s="1" t="str">
        <f>"11010518"</f>
        <v>11010518</v>
      </c>
      <c r="C3154" t="s">
        <v>2912</v>
      </c>
      <c r="D3154" t="s">
        <v>3128</v>
      </c>
      <c r="E3154" s="2">
        <v>0.4</v>
      </c>
      <c r="F3154" t="s">
        <v>12</v>
      </c>
      <c r="G3154" t="s">
        <v>25</v>
      </c>
      <c r="H3154" t="s">
        <v>332</v>
      </c>
      <c r="I3154"/>
    </row>
    <row r="3155" spans="1:9">
      <c r="A3155" t="s">
        <v>3120</v>
      </c>
      <c r="B3155" s="1" t="str">
        <f>"11010533"</f>
        <v>11010533</v>
      </c>
      <c r="C3155" t="s">
        <v>2912</v>
      </c>
      <c r="D3155" t="s">
        <v>3129</v>
      </c>
      <c r="E3155" s="2">
        <v>0.42</v>
      </c>
      <c r="F3155" t="s">
        <v>24</v>
      </c>
      <c r="G3155"/>
      <c r="H3155" t="s">
        <v>332</v>
      </c>
      <c r="I3155"/>
    </row>
    <row r="3156" spans="1:9">
      <c r="A3156" t="s">
        <v>3120</v>
      </c>
      <c r="B3156" s="1" t="str">
        <f>"11010532"</f>
        <v>11010532</v>
      </c>
      <c r="C3156" t="s">
        <v>2912</v>
      </c>
      <c r="D3156" t="s">
        <v>3130</v>
      </c>
      <c r="E3156" s="2">
        <v>0.4</v>
      </c>
      <c r="F3156" t="s">
        <v>24</v>
      </c>
      <c r="G3156"/>
      <c r="H3156" t="s">
        <v>332</v>
      </c>
      <c r="I3156"/>
    </row>
    <row r="3157" spans="1:9">
      <c r="A3157" t="s">
        <v>3120</v>
      </c>
      <c r="B3157" s="1" t="str">
        <f>"11010523"</f>
        <v>11010523</v>
      </c>
      <c r="C3157" t="s">
        <v>2912</v>
      </c>
      <c r="D3157" t="s">
        <v>3131</v>
      </c>
      <c r="E3157" s="2">
        <v>0.375</v>
      </c>
      <c r="F3157" t="s">
        <v>12</v>
      </c>
      <c r="G3157" t="s">
        <v>25</v>
      </c>
      <c r="H3157" t="s">
        <v>25</v>
      </c>
      <c r="I3157"/>
    </row>
    <row r="3158" spans="1:9">
      <c r="A3158" t="s">
        <v>3120</v>
      </c>
      <c r="B3158" s="1" t="str">
        <f>"11010537"</f>
        <v>11010537</v>
      </c>
      <c r="C3158" t="s">
        <v>2912</v>
      </c>
      <c r="D3158" t="s">
        <v>3132</v>
      </c>
      <c r="E3158" s="2">
        <v>0.43</v>
      </c>
      <c r="F3158" t="s">
        <v>2737</v>
      </c>
      <c r="G3158"/>
      <c r="H3158" t="s">
        <v>332</v>
      </c>
      <c r="I3158"/>
    </row>
    <row r="3159" spans="1:9">
      <c r="A3159" t="s">
        <v>3120</v>
      </c>
      <c r="B3159" s="1" t="str">
        <f>"11010193"</f>
        <v>11010193</v>
      </c>
      <c r="C3159" t="s">
        <v>2912</v>
      </c>
      <c r="D3159" t="s">
        <v>3133</v>
      </c>
      <c r="E3159" s="2">
        <v>0.427</v>
      </c>
      <c r="F3159" t="s">
        <v>12</v>
      </c>
      <c r="G3159" t="s">
        <v>25</v>
      </c>
      <c r="H3159" t="s">
        <v>332</v>
      </c>
      <c r="I3159"/>
    </row>
    <row r="3160" spans="1:9">
      <c r="A3160" t="s">
        <v>3120</v>
      </c>
      <c r="B3160" s="1" t="str">
        <f>"11010510"</f>
        <v>11010510</v>
      </c>
      <c r="C3160" t="s">
        <v>2912</v>
      </c>
      <c r="D3160" t="s">
        <v>3134</v>
      </c>
      <c r="E3160" s="2">
        <v>0.375</v>
      </c>
      <c r="F3160" t="s">
        <v>12</v>
      </c>
      <c r="G3160" t="s">
        <v>25</v>
      </c>
      <c r="H3160" t="s">
        <v>332</v>
      </c>
      <c r="I3160"/>
    </row>
    <row r="3161" spans="1:9">
      <c r="A3161" t="s">
        <v>3120</v>
      </c>
      <c r="B3161" s="1" t="str">
        <f>"11010516"</f>
        <v>11010516</v>
      </c>
      <c r="C3161" t="s">
        <v>2912</v>
      </c>
      <c r="D3161" t="s">
        <v>3135</v>
      </c>
      <c r="E3161" s="2">
        <v>0.4</v>
      </c>
      <c r="F3161" t="s">
        <v>2917</v>
      </c>
      <c r="G3161" t="s">
        <v>2918</v>
      </c>
      <c r="H3161" t="s">
        <v>2918</v>
      </c>
      <c r="I3161"/>
    </row>
    <row r="3162" spans="1:9">
      <c r="A3162" t="s">
        <v>3120</v>
      </c>
      <c r="B3162" s="1" t="str">
        <f>"11010520"</f>
        <v>11010520</v>
      </c>
      <c r="C3162" t="s">
        <v>2912</v>
      </c>
      <c r="D3162" t="s">
        <v>3136</v>
      </c>
      <c r="E3162" s="2">
        <v>0.375</v>
      </c>
      <c r="F3162" t="s">
        <v>2737</v>
      </c>
      <c r="G3162" t="s">
        <v>25</v>
      </c>
      <c r="H3162" t="s">
        <v>332</v>
      </c>
      <c r="I3162"/>
    </row>
    <row r="3163" spans="1:9">
      <c r="A3163" t="s">
        <v>3120</v>
      </c>
      <c r="B3163" s="1" t="str">
        <f>"11010524"</f>
        <v>11010524</v>
      </c>
      <c r="C3163" t="s">
        <v>2912</v>
      </c>
      <c r="D3163" t="s">
        <v>3137</v>
      </c>
      <c r="E3163" s="2">
        <v>0.4</v>
      </c>
      <c r="F3163" t="s">
        <v>12</v>
      </c>
      <c r="G3163" t="s">
        <v>25</v>
      </c>
      <c r="H3163" t="s">
        <v>332</v>
      </c>
      <c r="I3163"/>
    </row>
    <row r="3164" spans="1:9">
      <c r="A3164" t="s">
        <v>3120</v>
      </c>
      <c r="B3164" s="1" t="str">
        <f>"11010238"</f>
        <v>11010238</v>
      </c>
      <c r="C3164" t="s">
        <v>2912</v>
      </c>
      <c r="D3164" t="s">
        <v>3138</v>
      </c>
      <c r="E3164" s="2">
        <v>0.46</v>
      </c>
      <c r="F3164" t="s">
        <v>24</v>
      </c>
      <c r="G3164" t="s">
        <v>360</v>
      </c>
      <c r="H3164" t="s">
        <v>240</v>
      </c>
      <c r="I3164"/>
    </row>
    <row r="3165" spans="1:9">
      <c r="A3165" t="s">
        <v>3120</v>
      </c>
      <c r="B3165" s="1" t="str">
        <f>"11010517"</f>
        <v>11010517</v>
      </c>
      <c r="C3165" t="s">
        <v>2912</v>
      </c>
      <c r="D3165" t="s">
        <v>3139</v>
      </c>
      <c r="E3165" s="2">
        <v>0.44</v>
      </c>
      <c r="F3165" t="s">
        <v>12</v>
      </c>
      <c r="G3165" t="s">
        <v>29</v>
      </c>
      <c r="H3165" t="s">
        <v>332</v>
      </c>
      <c r="I3165"/>
    </row>
    <row r="3166" spans="1:9">
      <c r="A3166" t="s">
        <v>3120</v>
      </c>
      <c r="B3166" s="1" t="str">
        <f>"11010535"</f>
        <v>11010535</v>
      </c>
      <c r="C3166" t="s">
        <v>2912</v>
      </c>
      <c r="D3166" t="s">
        <v>3140</v>
      </c>
      <c r="E3166" s="2">
        <v>0.42</v>
      </c>
      <c r="F3166" t="s">
        <v>2737</v>
      </c>
      <c r="G3166"/>
      <c r="H3166" t="s">
        <v>332</v>
      </c>
      <c r="I3166"/>
    </row>
    <row r="3167" spans="1:9">
      <c r="A3167" t="s">
        <v>3120</v>
      </c>
      <c r="B3167" s="1" t="str">
        <f>"11010294"</f>
        <v>11010294</v>
      </c>
      <c r="C3167" t="s">
        <v>2912</v>
      </c>
      <c r="D3167" t="s">
        <v>3141</v>
      </c>
      <c r="E3167" s="2">
        <v>0.43</v>
      </c>
      <c r="F3167" t="s">
        <v>12</v>
      </c>
      <c r="G3167"/>
      <c r="H3167" t="s">
        <v>29</v>
      </c>
      <c r="I3167"/>
    </row>
    <row r="3168" spans="1:9">
      <c r="A3168" t="s">
        <v>3120</v>
      </c>
      <c r="B3168" s="1" t="str">
        <f>"11010536"</f>
        <v>11010536</v>
      </c>
      <c r="C3168" t="s">
        <v>2912</v>
      </c>
      <c r="D3168" t="s">
        <v>3142</v>
      </c>
      <c r="E3168" s="2">
        <v>0.42</v>
      </c>
      <c r="F3168" t="s">
        <v>24</v>
      </c>
      <c r="G3168"/>
      <c r="H3168" t="s">
        <v>332</v>
      </c>
      <c r="I3168"/>
    </row>
    <row r="3169" spans="1:9">
      <c r="A3169" t="s">
        <v>3120</v>
      </c>
      <c r="B3169" s="1" t="str">
        <f>"11010276"</f>
        <v>11010276</v>
      </c>
      <c r="C3169" t="s">
        <v>2912</v>
      </c>
      <c r="D3169" t="s">
        <v>3143</v>
      </c>
      <c r="E3169" s="2">
        <v>0.44</v>
      </c>
      <c r="F3169" t="s">
        <v>2737</v>
      </c>
      <c r="G3169"/>
      <c r="H3169" t="s">
        <v>332</v>
      </c>
      <c r="I3169"/>
    </row>
    <row r="3170" spans="1:9">
      <c r="A3170" t="s">
        <v>3120</v>
      </c>
      <c r="B3170" s="1" t="str">
        <f>"11010525"</f>
        <v>11010525</v>
      </c>
      <c r="C3170" t="s">
        <v>2912</v>
      </c>
      <c r="D3170" t="s">
        <v>3144</v>
      </c>
      <c r="E3170" s="2">
        <v>0.43</v>
      </c>
      <c r="F3170" t="s">
        <v>12</v>
      </c>
      <c r="G3170" t="s">
        <v>29</v>
      </c>
      <c r="H3170" t="s">
        <v>25</v>
      </c>
      <c r="I3170"/>
    </row>
    <row r="3171" spans="1:9">
      <c r="A3171" t="s">
        <v>3120</v>
      </c>
      <c r="B3171" s="1" t="str">
        <f>"11056417"</f>
        <v>11056417</v>
      </c>
      <c r="C3171" t="s">
        <v>2912</v>
      </c>
      <c r="D3171" t="s">
        <v>3145</v>
      </c>
      <c r="E3171" s="2">
        <v>0.375</v>
      </c>
      <c r="F3171" t="s">
        <v>12</v>
      </c>
      <c r="G3171" t="s">
        <v>29</v>
      </c>
      <c r="H3171" t="s">
        <v>25</v>
      </c>
      <c r="I3171"/>
    </row>
    <row r="3172" spans="1:9">
      <c r="A3172" t="s">
        <v>3120</v>
      </c>
      <c r="B3172" s="1" t="str">
        <f>"11010178"</f>
        <v>11010178</v>
      </c>
      <c r="C3172" t="s">
        <v>2912</v>
      </c>
      <c r="D3172" t="s">
        <v>3146</v>
      </c>
      <c r="E3172" s="2">
        <v>0.395</v>
      </c>
      <c r="F3172" t="s">
        <v>2737</v>
      </c>
      <c r="G3172" t="s">
        <v>25</v>
      </c>
      <c r="H3172" t="s">
        <v>332</v>
      </c>
      <c r="I3172"/>
    </row>
    <row r="3173" spans="1:9">
      <c r="A3173" t="s">
        <v>3120</v>
      </c>
      <c r="B3173" s="1" t="str">
        <f>"11010519"</f>
        <v>11010519</v>
      </c>
      <c r="C3173" t="s">
        <v>2912</v>
      </c>
      <c r="D3173" t="s">
        <v>3147</v>
      </c>
      <c r="E3173" s="2">
        <v>0.47</v>
      </c>
      <c r="F3173" t="s">
        <v>24</v>
      </c>
      <c r="G3173" t="s">
        <v>25</v>
      </c>
      <c r="H3173" t="s">
        <v>332</v>
      </c>
      <c r="I3173"/>
    </row>
    <row r="3174" spans="1:9">
      <c r="A3174" t="s">
        <v>3120</v>
      </c>
      <c r="B3174" s="1" t="str">
        <f>"11010257"</f>
        <v>11010257</v>
      </c>
      <c r="C3174" t="s">
        <v>2912</v>
      </c>
      <c r="D3174" t="s">
        <v>3148</v>
      </c>
      <c r="E3174" s="2">
        <v>0.4</v>
      </c>
      <c r="F3174" t="s">
        <v>12</v>
      </c>
      <c r="G3174" t="s">
        <v>2780</v>
      </c>
      <c r="H3174" t="s">
        <v>332</v>
      </c>
      <c r="I3174"/>
    </row>
    <row r="3175" spans="1:9">
      <c r="A3175" t="s">
        <v>3120</v>
      </c>
      <c r="B3175" s="1" t="str">
        <f>"11010285"</f>
        <v>11010285</v>
      </c>
      <c r="C3175" t="s">
        <v>2912</v>
      </c>
      <c r="D3175" t="s">
        <v>3149</v>
      </c>
      <c r="E3175" s="2">
        <v>0.42</v>
      </c>
      <c r="F3175" t="s">
        <v>24</v>
      </c>
      <c r="G3175"/>
      <c r="H3175" t="s">
        <v>332</v>
      </c>
      <c r="I3175"/>
    </row>
    <row r="3176" spans="1:9">
      <c r="A3176" t="s">
        <v>3120</v>
      </c>
      <c r="B3176" s="1" t="str">
        <f>"11010284"</f>
        <v>11010284</v>
      </c>
      <c r="C3176" t="s">
        <v>2912</v>
      </c>
      <c r="D3176" t="s">
        <v>3150</v>
      </c>
      <c r="E3176" s="2">
        <v>0.42</v>
      </c>
      <c r="F3176" t="s">
        <v>24</v>
      </c>
      <c r="G3176"/>
      <c r="H3176" t="s">
        <v>332</v>
      </c>
      <c r="I3176"/>
    </row>
    <row r="3177" spans="1:9">
      <c r="A3177" t="s">
        <v>3120</v>
      </c>
      <c r="B3177" s="1" t="str">
        <f>"11010262"</f>
        <v>11010262</v>
      </c>
      <c r="C3177" t="s">
        <v>2912</v>
      </c>
      <c r="D3177" t="s">
        <v>3151</v>
      </c>
      <c r="E3177" s="2">
        <v>0.43</v>
      </c>
      <c r="F3177" t="s">
        <v>12</v>
      </c>
      <c r="G3177" t="s">
        <v>25</v>
      </c>
      <c r="H3177" t="s">
        <v>332</v>
      </c>
      <c r="I3177"/>
    </row>
    <row r="3178" spans="1:9">
      <c r="A3178" t="s">
        <v>3120</v>
      </c>
      <c r="B3178" s="1" t="str">
        <f>"11010215"</f>
        <v>11010215</v>
      </c>
      <c r="C3178" t="s">
        <v>2912</v>
      </c>
      <c r="D3178" t="s">
        <v>3152</v>
      </c>
      <c r="E3178" s="2">
        <v>0.47</v>
      </c>
      <c r="F3178" t="s">
        <v>2737</v>
      </c>
      <c r="G3178" t="s">
        <v>29</v>
      </c>
      <c r="H3178" t="s">
        <v>332</v>
      </c>
      <c r="I3178"/>
    </row>
    <row r="3179" spans="1:9">
      <c r="A3179" t="s">
        <v>3120</v>
      </c>
      <c r="B3179" s="1" t="str">
        <f>"11010177"</f>
        <v>11010177</v>
      </c>
      <c r="C3179" t="s">
        <v>2912</v>
      </c>
      <c r="D3179" t="s">
        <v>3153</v>
      </c>
      <c r="E3179" s="2">
        <v>0.41</v>
      </c>
      <c r="F3179" t="s">
        <v>24</v>
      </c>
      <c r="G3179" t="s">
        <v>25</v>
      </c>
      <c r="H3179" t="s">
        <v>332</v>
      </c>
      <c r="I3179"/>
    </row>
    <row r="3180" spans="1:9">
      <c r="A3180" t="s">
        <v>3120</v>
      </c>
      <c r="B3180" s="1" t="str">
        <f>"11010194"</f>
        <v>11010194</v>
      </c>
      <c r="C3180" t="s">
        <v>2912</v>
      </c>
      <c r="D3180" t="s">
        <v>3154</v>
      </c>
      <c r="E3180" s="2">
        <v>0.47</v>
      </c>
      <c r="F3180" t="s">
        <v>24</v>
      </c>
      <c r="G3180" t="s">
        <v>25</v>
      </c>
      <c r="H3180" t="s">
        <v>332</v>
      </c>
      <c r="I3180"/>
    </row>
    <row r="3181" spans="1:9">
      <c r="A3181" t="s">
        <v>3120</v>
      </c>
      <c r="B3181" s="1" t="str">
        <f>"12012315"</f>
        <v>12012315</v>
      </c>
      <c r="C3181" t="s">
        <v>2912</v>
      </c>
      <c r="D3181" t="s">
        <v>3155</v>
      </c>
      <c r="E3181" s="2"/>
      <c r="F3181" t="s">
        <v>2737</v>
      </c>
      <c r="G3181"/>
      <c r="H3181" t="s">
        <v>2780</v>
      </c>
      <c r="I3181"/>
    </row>
    <row r="3182" spans="1:9">
      <c r="A3182" t="s">
        <v>3120</v>
      </c>
      <c r="B3182" s="1" t="str">
        <f>"11013462"</f>
        <v>11013462</v>
      </c>
      <c r="C3182" t="s">
        <v>2912</v>
      </c>
      <c r="D3182" t="s">
        <v>3156</v>
      </c>
      <c r="E3182" s="2">
        <v>0.413</v>
      </c>
      <c r="F3182" t="s">
        <v>2737</v>
      </c>
      <c r="G3182" t="s">
        <v>360</v>
      </c>
      <c r="H3182" t="s">
        <v>240</v>
      </c>
      <c r="I3182"/>
    </row>
    <row r="3183" spans="1:9">
      <c r="A3183" t="s">
        <v>3120</v>
      </c>
      <c r="B3183" s="1" t="str">
        <f>"11013463"</f>
        <v>11013463</v>
      </c>
      <c r="C3183" t="s">
        <v>2912</v>
      </c>
      <c r="D3183" t="s">
        <v>3157</v>
      </c>
      <c r="E3183" s="2">
        <v>0.413</v>
      </c>
      <c r="F3183" t="s">
        <v>2737</v>
      </c>
      <c r="G3183" t="s">
        <v>360</v>
      </c>
      <c r="H3183" t="s">
        <v>240</v>
      </c>
      <c r="I3183"/>
    </row>
    <row r="3184" spans="1:9">
      <c r="A3184" t="s">
        <v>3120</v>
      </c>
      <c r="B3184" s="1" t="str">
        <f>"11013461"</f>
        <v>11013461</v>
      </c>
      <c r="C3184" t="s">
        <v>2912</v>
      </c>
      <c r="D3184" t="s">
        <v>3158</v>
      </c>
      <c r="E3184" s="2">
        <v>0.473</v>
      </c>
      <c r="F3184" t="s">
        <v>12</v>
      </c>
      <c r="G3184" t="s">
        <v>25</v>
      </c>
      <c r="H3184" t="s">
        <v>332</v>
      </c>
      <c r="I3184"/>
    </row>
    <row r="3185" spans="1:9">
      <c r="A3185" t="s">
        <v>3120</v>
      </c>
      <c r="B3185" s="1" t="str">
        <f>"11011121"</f>
        <v>11011121</v>
      </c>
      <c r="C3185" t="s">
        <v>2912</v>
      </c>
      <c r="D3185" t="s">
        <v>3159</v>
      </c>
      <c r="E3185" s="2">
        <v>0.413</v>
      </c>
      <c r="F3185" t="s">
        <v>12</v>
      </c>
      <c r="G3185" t="s">
        <v>29</v>
      </c>
      <c r="H3185" t="s">
        <v>332</v>
      </c>
      <c r="I3185"/>
    </row>
    <row r="3186" spans="1:9">
      <c r="A3186" t="s">
        <v>3120</v>
      </c>
      <c r="B3186" s="1" t="str">
        <f>"11013460"</f>
        <v>11013460</v>
      </c>
      <c r="C3186" t="s">
        <v>2912</v>
      </c>
      <c r="D3186" t="s">
        <v>3160</v>
      </c>
      <c r="E3186" s="2">
        <v>0.473</v>
      </c>
      <c r="F3186" t="s">
        <v>12</v>
      </c>
      <c r="G3186" t="s">
        <v>29</v>
      </c>
      <c r="H3186" t="s">
        <v>332</v>
      </c>
      <c r="I3186"/>
    </row>
    <row r="3187" spans="1:9">
      <c r="A3187" t="s">
        <v>3120</v>
      </c>
      <c r="B3187" s="1" t="str">
        <f>"11010192"</f>
        <v>11010192</v>
      </c>
      <c r="C3187" t="s">
        <v>2912</v>
      </c>
      <c r="D3187" t="s">
        <v>3161</v>
      </c>
      <c r="E3187" s="2">
        <v>0.46</v>
      </c>
      <c r="F3187" t="s">
        <v>12</v>
      </c>
      <c r="G3187" t="s">
        <v>25</v>
      </c>
      <c r="H3187" t="s">
        <v>332</v>
      </c>
      <c r="I3187"/>
    </row>
    <row r="3188" spans="1:9">
      <c r="A3188" t="s">
        <v>3120</v>
      </c>
      <c r="B3188" s="1" t="str">
        <f>"11010150"</f>
        <v>11010150</v>
      </c>
      <c r="C3188" t="s">
        <v>2912</v>
      </c>
      <c r="D3188" t="s">
        <v>3162</v>
      </c>
      <c r="E3188" s="2">
        <v>0.45</v>
      </c>
      <c r="F3188" t="s">
        <v>2737</v>
      </c>
      <c r="G3188" t="s">
        <v>25</v>
      </c>
      <c r="H3188" t="s">
        <v>332</v>
      </c>
      <c r="I3188"/>
    </row>
    <row r="3189" spans="1:9">
      <c r="A3189" t="s">
        <v>3120</v>
      </c>
      <c r="B3189" s="1" t="str">
        <f>"11010233"</f>
        <v>11010233</v>
      </c>
      <c r="C3189" t="s">
        <v>2912</v>
      </c>
      <c r="D3189" t="s">
        <v>3163</v>
      </c>
      <c r="E3189" s="2">
        <v>0.47</v>
      </c>
      <c r="F3189" t="s">
        <v>12</v>
      </c>
      <c r="G3189" t="s">
        <v>25</v>
      </c>
      <c r="H3189" t="s">
        <v>332</v>
      </c>
      <c r="I3189"/>
    </row>
    <row r="3190" spans="1:9">
      <c r="A3190" t="s">
        <v>3120</v>
      </c>
      <c r="B3190" s="1" t="str">
        <f>"11010288"</f>
        <v>11010288</v>
      </c>
      <c r="C3190" t="s">
        <v>2912</v>
      </c>
      <c r="D3190" t="s">
        <v>3164</v>
      </c>
      <c r="E3190" s="2">
        <v>0.413</v>
      </c>
      <c r="F3190" t="s">
        <v>12</v>
      </c>
      <c r="G3190" t="s">
        <v>360</v>
      </c>
      <c r="H3190" t="s">
        <v>240</v>
      </c>
      <c r="I3190"/>
    </row>
    <row r="3191" spans="1:9">
      <c r="A3191" t="s">
        <v>3120</v>
      </c>
      <c r="B3191" s="1" t="str">
        <f>"11010241"</f>
        <v>11010241</v>
      </c>
      <c r="C3191" t="s">
        <v>2912</v>
      </c>
      <c r="D3191" t="s">
        <v>3165</v>
      </c>
      <c r="E3191" s="2">
        <v>0.43</v>
      </c>
      <c r="F3191" t="s">
        <v>12</v>
      </c>
      <c r="G3191" t="s">
        <v>360</v>
      </c>
      <c r="H3191" t="s">
        <v>240</v>
      </c>
      <c r="I3191"/>
    </row>
    <row r="3192" spans="1:9">
      <c r="A3192" t="s">
        <v>3120</v>
      </c>
      <c r="B3192" s="1" t="str">
        <f>"11010286"</f>
        <v>11010286</v>
      </c>
      <c r="C3192" t="s">
        <v>2912</v>
      </c>
      <c r="D3192" t="s">
        <v>3166</v>
      </c>
      <c r="E3192" s="2">
        <v>0.413</v>
      </c>
      <c r="F3192" t="s">
        <v>12</v>
      </c>
      <c r="G3192" t="s">
        <v>360</v>
      </c>
      <c r="H3192" t="s">
        <v>240</v>
      </c>
      <c r="I3192"/>
    </row>
    <row r="3193" spans="1:9">
      <c r="A3193" t="s">
        <v>3167</v>
      </c>
      <c r="B3193" s="1" t="str">
        <f>"11012028"</f>
        <v>11012028</v>
      </c>
      <c r="C3193" t="s">
        <v>260</v>
      </c>
      <c r="D3193" t="s">
        <v>3168</v>
      </c>
      <c r="E3193" s="2">
        <v>0.26</v>
      </c>
      <c r="F3193" t="s">
        <v>12</v>
      </c>
      <c r="G3193" t="s">
        <v>25</v>
      </c>
      <c r="H3193" t="s">
        <v>332</v>
      </c>
      <c r="I3193"/>
    </row>
    <row r="3194" spans="1:9">
      <c r="A3194" t="s">
        <v>3167</v>
      </c>
      <c r="B3194" s="1" t="str">
        <f>"11012029"</f>
        <v>11012029</v>
      </c>
      <c r="C3194" t="s">
        <v>260</v>
      </c>
      <c r="D3194" t="s">
        <v>3169</v>
      </c>
      <c r="E3194" s="2">
        <v>0.3</v>
      </c>
      <c r="F3194" t="s">
        <v>12</v>
      </c>
      <c r="G3194" t="s">
        <v>25</v>
      </c>
      <c r="H3194" t="s">
        <v>332</v>
      </c>
      <c r="I3194"/>
    </row>
    <row r="3195" spans="1:9">
      <c r="A3195" t="s">
        <v>3167</v>
      </c>
      <c r="B3195" s="1" t="str">
        <f>"11010327"</f>
        <v>11010327</v>
      </c>
      <c r="C3195" t="s">
        <v>3170</v>
      </c>
      <c r="D3195" t="s">
        <v>3171</v>
      </c>
      <c r="E3195" s="2">
        <v>0.66</v>
      </c>
      <c r="F3195" t="s">
        <v>12</v>
      </c>
      <c r="G3195" t="s">
        <v>3172</v>
      </c>
      <c r="H3195" t="s">
        <v>332</v>
      </c>
      <c r="I3195"/>
    </row>
    <row r="3196" spans="1:9">
      <c r="A3196" t="s">
        <v>3167</v>
      </c>
      <c r="B3196" s="1" t="str">
        <f>"11012206"</f>
        <v>11012206</v>
      </c>
      <c r="C3196" t="s">
        <v>3170</v>
      </c>
      <c r="D3196" t="s">
        <v>3173</v>
      </c>
      <c r="E3196" s="2">
        <v>0.21</v>
      </c>
      <c r="F3196" t="s">
        <v>12</v>
      </c>
      <c r="G3196" t="s">
        <v>29</v>
      </c>
      <c r="H3196" t="s">
        <v>332</v>
      </c>
      <c r="I3196"/>
    </row>
    <row r="3197" spans="1:9">
      <c r="A3197" t="s">
        <v>3167</v>
      </c>
      <c r="B3197" s="1" t="str">
        <f>"11012081"</f>
        <v>11012081</v>
      </c>
      <c r="C3197" t="s">
        <v>3170</v>
      </c>
      <c r="D3197" t="s">
        <v>3174</v>
      </c>
      <c r="E3197" s="2">
        <v>0.17</v>
      </c>
      <c r="F3197" t="s">
        <v>12</v>
      </c>
      <c r="G3197" t="s">
        <v>25</v>
      </c>
      <c r="H3197" t="s">
        <v>332</v>
      </c>
      <c r="I3197"/>
    </row>
    <row r="3198" spans="1:9">
      <c r="A3198" t="s">
        <v>3167</v>
      </c>
      <c r="B3198" s="1" t="str">
        <f>"11012085"</f>
        <v>11012085</v>
      </c>
      <c r="C3198" t="s">
        <v>3170</v>
      </c>
      <c r="D3198" t="s">
        <v>3174</v>
      </c>
      <c r="E3198" s="2">
        <v>0.17</v>
      </c>
      <c r="F3198" t="s">
        <v>2737</v>
      </c>
      <c r="G3198" t="s">
        <v>25</v>
      </c>
      <c r="H3198" t="s">
        <v>332</v>
      </c>
      <c r="I3198"/>
    </row>
    <row r="3199" spans="1:9">
      <c r="A3199" t="s">
        <v>3167</v>
      </c>
      <c r="B3199" s="1" t="str">
        <f>"11012105"</f>
        <v>11012105</v>
      </c>
      <c r="C3199" t="s">
        <v>3170</v>
      </c>
      <c r="D3199" t="s">
        <v>3175</v>
      </c>
      <c r="E3199" s="2">
        <v>0.17</v>
      </c>
      <c r="F3199" t="s">
        <v>12</v>
      </c>
      <c r="G3199" t="s">
        <v>25</v>
      </c>
      <c r="H3199" t="s">
        <v>332</v>
      </c>
      <c r="I3199"/>
    </row>
    <row r="3200" spans="1:9">
      <c r="A3200" t="s">
        <v>3167</v>
      </c>
      <c r="B3200" s="1" t="str">
        <f>"11012112"</f>
        <v>11012112</v>
      </c>
      <c r="C3200" t="s">
        <v>3170</v>
      </c>
      <c r="D3200" t="s">
        <v>3176</v>
      </c>
      <c r="E3200" s="2">
        <v>0.17</v>
      </c>
      <c r="F3200" t="s">
        <v>2917</v>
      </c>
      <c r="G3200" t="s">
        <v>3177</v>
      </c>
      <c r="H3200" t="s">
        <v>3177</v>
      </c>
      <c r="I3200"/>
    </row>
    <row r="3201" spans="1:9">
      <c r="A3201" t="s">
        <v>3167</v>
      </c>
      <c r="B3201" s="1" t="str">
        <f>"11012108"</f>
        <v>11012108</v>
      </c>
      <c r="C3201" t="s">
        <v>3170</v>
      </c>
      <c r="D3201" t="s">
        <v>3178</v>
      </c>
      <c r="E3201" s="2">
        <v>0.17</v>
      </c>
      <c r="F3201" t="s">
        <v>12</v>
      </c>
      <c r="G3201" t="s">
        <v>29</v>
      </c>
      <c r="H3201" t="s">
        <v>332</v>
      </c>
      <c r="I3201"/>
    </row>
    <row r="3202" spans="1:9">
      <c r="A3202" t="s">
        <v>3167</v>
      </c>
      <c r="B3202" s="1" t="str">
        <f>"11010187"</f>
        <v>11010187</v>
      </c>
      <c r="C3202" t="s">
        <v>3170</v>
      </c>
      <c r="D3202" t="s">
        <v>3179</v>
      </c>
      <c r="E3202" s="2">
        <v>0.35</v>
      </c>
      <c r="F3202" t="s">
        <v>2737</v>
      </c>
      <c r="G3202" t="s">
        <v>25</v>
      </c>
      <c r="H3202" t="s">
        <v>332</v>
      </c>
      <c r="I3202"/>
    </row>
    <row r="3203" spans="1:9">
      <c r="A3203" t="s">
        <v>3167</v>
      </c>
      <c r="B3203" s="1" t="str">
        <f>"11210576"</f>
        <v>11210576</v>
      </c>
      <c r="C3203" t="s">
        <v>3170</v>
      </c>
      <c r="D3203" t="s">
        <v>3180</v>
      </c>
      <c r="E3203" s="2">
        <v>0.16</v>
      </c>
      <c r="F3203" t="s">
        <v>12</v>
      </c>
      <c r="G3203" t="s">
        <v>25</v>
      </c>
      <c r="H3203" t="s">
        <v>332</v>
      </c>
      <c r="I3203"/>
    </row>
    <row r="3204" spans="1:9">
      <c r="A3204" t="s">
        <v>3167</v>
      </c>
      <c r="B3204" s="1" t="str">
        <f>"11012225"</f>
        <v>11012225</v>
      </c>
      <c r="C3204" t="s">
        <v>3170</v>
      </c>
      <c r="D3204" t="s">
        <v>3181</v>
      </c>
      <c r="E3204" s="2">
        <v>0.2</v>
      </c>
      <c r="F3204" t="s">
        <v>3182</v>
      </c>
      <c r="G3204" t="s">
        <v>3183</v>
      </c>
      <c r="H3204" t="s">
        <v>3184</v>
      </c>
      <c r="I3204"/>
    </row>
    <row r="3205" spans="1:9">
      <c r="A3205" t="s">
        <v>3167</v>
      </c>
      <c r="B3205" s="1" t="str">
        <f>"11012226"</f>
        <v>11012226</v>
      </c>
      <c r="C3205" t="s">
        <v>3170</v>
      </c>
      <c r="D3205" t="s">
        <v>3181</v>
      </c>
      <c r="E3205" s="2">
        <v>0.2</v>
      </c>
      <c r="F3205" t="s">
        <v>12</v>
      </c>
      <c r="G3205" t="s">
        <v>25</v>
      </c>
      <c r="H3205" t="s">
        <v>332</v>
      </c>
      <c r="I3205"/>
    </row>
    <row r="3206" spans="1:9">
      <c r="A3206" t="s">
        <v>3167</v>
      </c>
      <c r="B3206" s="1" t="str">
        <f>"11316594"</f>
        <v>11316594</v>
      </c>
      <c r="C3206" t="s">
        <v>3170</v>
      </c>
      <c r="D3206" t="s">
        <v>3185</v>
      </c>
      <c r="E3206" s="2"/>
      <c r="F3206" t="s">
        <v>2737</v>
      </c>
      <c r="G3206"/>
      <c r="H3206" t="s">
        <v>332</v>
      </c>
      <c r="I3206"/>
    </row>
    <row r="3207" spans="1:9">
      <c r="A3207" t="s">
        <v>3167</v>
      </c>
      <c r="B3207" s="1" t="str">
        <f>"11010010"</f>
        <v>11010010</v>
      </c>
      <c r="C3207" t="s">
        <v>3170</v>
      </c>
      <c r="D3207" t="s">
        <v>3186</v>
      </c>
      <c r="E3207" s="2">
        <v>0.18</v>
      </c>
      <c r="F3207" t="s">
        <v>12</v>
      </c>
      <c r="G3207" t="s">
        <v>25</v>
      </c>
      <c r="H3207" t="s">
        <v>25</v>
      </c>
      <c r="I3207"/>
    </row>
    <row r="3208" spans="1:9">
      <c r="A3208" t="s">
        <v>3167</v>
      </c>
      <c r="B3208" s="1" t="str">
        <f>"11010021"</f>
        <v>11010021</v>
      </c>
      <c r="C3208" t="s">
        <v>3170</v>
      </c>
      <c r="D3208" t="s">
        <v>3187</v>
      </c>
      <c r="E3208" s="2">
        <v>0.18</v>
      </c>
      <c r="F3208" t="s">
        <v>2737</v>
      </c>
      <c r="G3208" t="s">
        <v>25</v>
      </c>
      <c r="H3208" t="s">
        <v>25</v>
      </c>
      <c r="I3208"/>
    </row>
    <row r="3209" spans="1:9">
      <c r="A3209" t="s">
        <v>3167</v>
      </c>
      <c r="B3209" s="1" t="str">
        <f>"11010012"</f>
        <v>11010012</v>
      </c>
      <c r="C3209" t="s">
        <v>3170</v>
      </c>
      <c r="D3209" t="s">
        <v>3188</v>
      </c>
      <c r="E3209" s="2">
        <v>0.16</v>
      </c>
      <c r="F3209" t="s">
        <v>12</v>
      </c>
      <c r="G3209" t="s">
        <v>25</v>
      </c>
      <c r="H3209" t="s">
        <v>332</v>
      </c>
      <c r="I3209"/>
    </row>
    <row r="3210" spans="1:9">
      <c r="A3210" t="s">
        <v>3167</v>
      </c>
      <c r="B3210" s="1" t="str">
        <f>"11010022"</f>
        <v>11010022</v>
      </c>
      <c r="C3210" t="s">
        <v>3170</v>
      </c>
      <c r="D3210" t="s">
        <v>3189</v>
      </c>
      <c r="E3210" s="2">
        <v>0.16</v>
      </c>
      <c r="F3210" t="s">
        <v>2737</v>
      </c>
      <c r="G3210" t="s">
        <v>25</v>
      </c>
      <c r="H3210" t="s">
        <v>25</v>
      </c>
      <c r="I3210"/>
    </row>
    <row r="3211" spans="1:9">
      <c r="A3211" t="s">
        <v>3167</v>
      </c>
      <c r="B3211" s="1" t="str">
        <f>"11010023"</f>
        <v>11010023</v>
      </c>
      <c r="C3211" t="s">
        <v>3170</v>
      </c>
      <c r="D3211" t="s">
        <v>3190</v>
      </c>
      <c r="E3211" s="2">
        <v>0.15</v>
      </c>
      <c r="F3211" t="s">
        <v>2737</v>
      </c>
      <c r="G3211" t="s">
        <v>25</v>
      </c>
      <c r="H3211" t="s">
        <v>25</v>
      </c>
      <c r="I3211"/>
    </row>
    <row r="3212" spans="1:9">
      <c r="A3212" t="s">
        <v>3167</v>
      </c>
      <c r="B3212" s="1" t="str">
        <f>"11010017"</f>
        <v>11010017</v>
      </c>
      <c r="C3212" t="s">
        <v>3170</v>
      </c>
      <c r="D3212" t="s">
        <v>3191</v>
      </c>
      <c r="E3212" s="2">
        <v>0.16</v>
      </c>
      <c r="F3212" t="s">
        <v>2737</v>
      </c>
      <c r="G3212"/>
      <c r="H3212" t="s">
        <v>332</v>
      </c>
      <c r="I3212"/>
    </row>
    <row r="3213" spans="1:9">
      <c r="A3213" t="s">
        <v>3167</v>
      </c>
      <c r="B3213" s="1" t="str">
        <f>"11010342"</f>
        <v>11010342</v>
      </c>
      <c r="C3213" t="s">
        <v>3170</v>
      </c>
      <c r="D3213" t="s">
        <v>3192</v>
      </c>
      <c r="E3213" s="2">
        <v>0.18</v>
      </c>
      <c r="F3213" t="s">
        <v>12</v>
      </c>
      <c r="G3213" t="s">
        <v>25</v>
      </c>
      <c r="H3213" t="s">
        <v>332</v>
      </c>
      <c r="I3213"/>
    </row>
    <row r="3214" spans="1:9">
      <c r="A3214" t="s">
        <v>3167</v>
      </c>
      <c r="B3214" s="1" t="str">
        <f>"11012032"</f>
        <v>11012032</v>
      </c>
      <c r="C3214" t="s">
        <v>3170</v>
      </c>
      <c r="D3214" t="s">
        <v>3193</v>
      </c>
      <c r="E3214" s="2">
        <v>0.15</v>
      </c>
      <c r="F3214" t="s">
        <v>2737</v>
      </c>
      <c r="G3214" t="s">
        <v>25</v>
      </c>
      <c r="H3214" t="s">
        <v>332</v>
      </c>
      <c r="I3214"/>
    </row>
    <row r="3215" spans="1:9">
      <c r="A3215" t="s">
        <v>3167</v>
      </c>
      <c r="B3215" s="1" t="str">
        <f>"11012023"</f>
        <v>11012023</v>
      </c>
      <c r="C3215" t="s">
        <v>3170</v>
      </c>
      <c r="D3215" t="s">
        <v>3194</v>
      </c>
      <c r="E3215" s="2">
        <v>0.24</v>
      </c>
      <c r="F3215" t="s">
        <v>2737</v>
      </c>
      <c r="G3215" t="s">
        <v>25</v>
      </c>
      <c r="H3215" t="s">
        <v>332</v>
      </c>
      <c r="I3215"/>
    </row>
    <row r="3216" spans="1:9">
      <c r="A3216" t="s">
        <v>3167</v>
      </c>
      <c r="B3216" s="1" t="str">
        <f>"11012015"</f>
        <v>11012015</v>
      </c>
      <c r="C3216" t="s">
        <v>3170</v>
      </c>
      <c r="D3216" t="s">
        <v>3195</v>
      </c>
      <c r="E3216" s="2">
        <v>0.24</v>
      </c>
      <c r="F3216" t="s">
        <v>2737</v>
      </c>
      <c r="G3216" t="s">
        <v>25</v>
      </c>
      <c r="H3216" t="s">
        <v>332</v>
      </c>
      <c r="I3216"/>
    </row>
    <row r="3217" spans="1:9">
      <c r="A3217" t="s">
        <v>3167</v>
      </c>
      <c r="B3217" s="1" t="str">
        <f>"11012019"</f>
        <v>11012019</v>
      </c>
      <c r="C3217" t="s">
        <v>3170</v>
      </c>
      <c r="D3217" t="s">
        <v>3196</v>
      </c>
      <c r="E3217" s="2">
        <v>0.17</v>
      </c>
      <c r="F3217" t="s">
        <v>2737</v>
      </c>
      <c r="G3217" t="s">
        <v>25</v>
      </c>
      <c r="H3217" t="s">
        <v>332</v>
      </c>
      <c r="I3217"/>
    </row>
    <row r="3218" spans="1:9">
      <c r="A3218" t="s">
        <v>3167</v>
      </c>
      <c r="B3218" s="1" t="str">
        <f>"11012026"</f>
        <v>11012026</v>
      </c>
      <c r="C3218" t="s">
        <v>3170</v>
      </c>
      <c r="D3218" t="s">
        <v>3197</v>
      </c>
      <c r="E3218" s="2">
        <v>0.17</v>
      </c>
      <c r="F3218" t="s">
        <v>2737</v>
      </c>
      <c r="G3218" t="s">
        <v>25</v>
      </c>
      <c r="H3218" t="s">
        <v>332</v>
      </c>
      <c r="I3218"/>
    </row>
    <row r="3219" spans="1:9">
      <c r="A3219" t="s">
        <v>3167</v>
      </c>
      <c r="B3219" s="1" t="str">
        <f>"11012051"</f>
        <v>11012051</v>
      </c>
      <c r="C3219" t="s">
        <v>3170</v>
      </c>
      <c r="D3219" t="s">
        <v>3198</v>
      </c>
      <c r="E3219" s="2">
        <v>0.21</v>
      </c>
      <c r="F3219" t="s">
        <v>2737</v>
      </c>
      <c r="G3219" t="s">
        <v>25</v>
      </c>
      <c r="H3219" t="s">
        <v>332</v>
      </c>
      <c r="I3219"/>
    </row>
    <row r="3220" spans="1:9">
      <c r="A3220" t="s">
        <v>3167</v>
      </c>
      <c r="B3220" s="1" t="str">
        <f>"11012062"</f>
        <v>11012062</v>
      </c>
      <c r="C3220" t="s">
        <v>3170</v>
      </c>
      <c r="D3220" t="s">
        <v>3199</v>
      </c>
      <c r="E3220" s="2">
        <v>0.38</v>
      </c>
      <c r="F3220" t="s">
        <v>2737</v>
      </c>
      <c r="G3220" t="s">
        <v>25</v>
      </c>
      <c r="H3220" t="s">
        <v>332</v>
      </c>
      <c r="I3220"/>
    </row>
    <row r="3221" spans="1:9">
      <c r="A3221" t="s">
        <v>3167</v>
      </c>
      <c r="B3221" s="1" t="str">
        <f>"11012030"</f>
        <v>11012030</v>
      </c>
      <c r="C3221" t="s">
        <v>3170</v>
      </c>
      <c r="D3221" t="s">
        <v>3200</v>
      </c>
      <c r="E3221" s="2">
        <v>0.24</v>
      </c>
      <c r="F3221" t="s">
        <v>2737</v>
      </c>
      <c r="G3221" t="s">
        <v>25</v>
      </c>
      <c r="H3221" t="s">
        <v>332</v>
      </c>
      <c r="I3221"/>
    </row>
    <row r="3222" spans="1:9">
      <c r="A3222" t="s">
        <v>3167</v>
      </c>
      <c r="B3222" s="1" t="str">
        <f>"11012061"</f>
        <v>11012061</v>
      </c>
      <c r="C3222" t="s">
        <v>3170</v>
      </c>
      <c r="D3222" t="s">
        <v>3201</v>
      </c>
      <c r="E3222" s="2">
        <v>0.17</v>
      </c>
      <c r="F3222" t="s">
        <v>2737</v>
      </c>
      <c r="G3222" t="s">
        <v>25</v>
      </c>
      <c r="H3222" t="s">
        <v>332</v>
      </c>
      <c r="I3222"/>
    </row>
    <row r="3223" spans="1:9">
      <c r="A3223" t="s">
        <v>3167</v>
      </c>
      <c r="B3223" s="1" t="str">
        <f>"11010155"</f>
        <v>11010155</v>
      </c>
      <c r="C3223" t="s">
        <v>3170</v>
      </c>
      <c r="D3223" t="s">
        <v>3202</v>
      </c>
      <c r="E3223" s="2">
        <v>0.15</v>
      </c>
      <c r="F3223" t="s">
        <v>24</v>
      </c>
      <c r="G3223" t="s">
        <v>25</v>
      </c>
      <c r="H3223" t="s">
        <v>332</v>
      </c>
      <c r="I3223"/>
    </row>
    <row r="3224" spans="1:9">
      <c r="A3224" t="s">
        <v>3167</v>
      </c>
      <c r="B3224" s="1" t="str">
        <f>"11010156"</f>
        <v>11010156</v>
      </c>
      <c r="C3224" t="s">
        <v>3170</v>
      </c>
      <c r="D3224" t="s">
        <v>3203</v>
      </c>
      <c r="E3224" s="2">
        <v>0.15</v>
      </c>
      <c r="F3224" t="s">
        <v>24</v>
      </c>
      <c r="G3224" t="s">
        <v>25</v>
      </c>
      <c r="H3224" t="s">
        <v>332</v>
      </c>
      <c r="I3224"/>
    </row>
    <row r="3225" spans="1:9">
      <c r="A3225" t="s">
        <v>3167</v>
      </c>
      <c r="B3225" s="1" t="str">
        <f>"11010151"</f>
        <v>11010151</v>
      </c>
      <c r="C3225" t="s">
        <v>3170</v>
      </c>
      <c r="D3225" t="s">
        <v>3204</v>
      </c>
      <c r="E3225" s="2">
        <v>0.15</v>
      </c>
      <c r="F3225" t="s">
        <v>24</v>
      </c>
      <c r="G3225" t="s">
        <v>25</v>
      </c>
      <c r="H3225" t="s">
        <v>332</v>
      </c>
      <c r="I3225"/>
    </row>
    <row r="3226" spans="1:9">
      <c r="A3226" t="s">
        <v>3167</v>
      </c>
      <c r="B3226" s="1" t="str">
        <f>"11010153"</f>
        <v>11010153</v>
      </c>
      <c r="C3226" t="s">
        <v>3170</v>
      </c>
      <c r="D3226" t="s">
        <v>3205</v>
      </c>
      <c r="E3226" s="2">
        <v>0.15</v>
      </c>
      <c r="F3226" t="s">
        <v>24</v>
      </c>
      <c r="G3226" t="s">
        <v>25</v>
      </c>
      <c r="H3226" t="s">
        <v>332</v>
      </c>
      <c r="I3226"/>
    </row>
    <row r="3227" spans="1:9">
      <c r="A3227" t="s">
        <v>3167</v>
      </c>
      <c r="B3227" s="1" t="str">
        <f>"11010154"</f>
        <v>11010154</v>
      </c>
      <c r="C3227" t="s">
        <v>3170</v>
      </c>
      <c r="D3227" t="s">
        <v>3206</v>
      </c>
      <c r="E3227" s="2">
        <v>0.3</v>
      </c>
      <c r="F3227" t="s">
        <v>24</v>
      </c>
      <c r="G3227" t="s">
        <v>25</v>
      </c>
      <c r="H3227" t="s">
        <v>332</v>
      </c>
      <c r="I3227"/>
    </row>
    <row r="3228" spans="1:9">
      <c r="A3228" t="s">
        <v>3167</v>
      </c>
      <c r="B3228" s="1" t="str">
        <f>"11012109"</f>
        <v>11012109</v>
      </c>
      <c r="C3228" t="s">
        <v>3170</v>
      </c>
      <c r="D3228" t="s">
        <v>3207</v>
      </c>
      <c r="E3228" s="2">
        <v>0.17</v>
      </c>
      <c r="F3228" t="s">
        <v>12</v>
      </c>
      <c r="G3228" t="s">
        <v>29</v>
      </c>
      <c r="H3228" t="s">
        <v>332</v>
      </c>
      <c r="I3228"/>
    </row>
    <row r="3229" spans="1:9">
      <c r="A3229" t="s">
        <v>3167</v>
      </c>
      <c r="B3229" s="1" t="str">
        <f>"11007004"</f>
        <v>11007004</v>
      </c>
      <c r="C3229" t="s">
        <v>3170</v>
      </c>
      <c r="D3229" t="s">
        <v>3208</v>
      </c>
      <c r="E3229" s="2">
        <v>0.4</v>
      </c>
      <c r="F3229" t="s">
        <v>24</v>
      </c>
      <c r="G3229" t="s">
        <v>29</v>
      </c>
      <c r="H3229" t="s">
        <v>332</v>
      </c>
      <c r="I3229"/>
    </row>
    <row r="3230" spans="1:9">
      <c r="A3230" t="s">
        <v>3167</v>
      </c>
      <c r="B3230" s="1" t="str">
        <f>"11012076"</f>
        <v>11012076</v>
      </c>
      <c r="C3230" t="s">
        <v>3170</v>
      </c>
      <c r="D3230" t="s">
        <v>3208</v>
      </c>
      <c r="E3230" s="2">
        <v>0.4</v>
      </c>
      <c r="F3230" t="s">
        <v>12</v>
      </c>
      <c r="G3230" t="s">
        <v>29</v>
      </c>
      <c r="H3230" t="s">
        <v>332</v>
      </c>
      <c r="I3230"/>
    </row>
    <row r="3231" spans="1:9">
      <c r="A3231" t="s">
        <v>3167</v>
      </c>
      <c r="B3231" s="1" t="str">
        <f>"11012077"</f>
        <v>11012077</v>
      </c>
      <c r="C3231" t="s">
        <v>3170</v>
      </c>
      <c r="D3231" t="s">
        <v>3208</v>
      </c>
      <c r="E3231" s="2">
        <v>0.4</v>
      </c>
      <c r="F3231" t="s">
        <v>2917</v>
      </c>
      <c r="G3231" t="s">
        <v>3011</v>
      </c>
      <c r="H3231" t="s">
        <v>3011</v>
      </c>
      <c r="I3231"/>
    </row>
    <row r="3232" spans="1:9">
      <c r="A3232" t="s">
        <v>3167</v>
      </c>
      <c r="B3232" s="1" t="str">
        <f>"11012067"</f>
        <v>11012067</v>
      </c>
      <c r="C3232" t="s">
        <v>3170</v>
      </c>
      <c r="D3232" t="s">
        <v>3209</v>
      </c>
      <c r="E3232" s="2">
        <v>0.24</v>
      </c>
      <c r="F3232" t="s">
        <v>2737</v>
      </c>
      <c r="G3232" t="s">
        <v>25</v>
      </c>
      <c r="H3232" t="s">
        <v>332</v>
      </c>
      <c r="I3232"/>
    </row>
    <row r="3233" spans="1:9">
      <c r="A3233" t="s">
        <v>3167</v>
      </c>
      <c r="B3233" s="1" t="str">
        <f>"11012068"</f>
        <v>11012068</v>
      </c>
      <c r="C3233" t="s">
        <v>3170</v>
      </c>
      <c r="D3233" t="s">
        <v>3210</v>
      </c>
      <c r="E3233" s="2">
        <v>0.4</v>
      </c>
      <c r="F3233" t="s">
        <v>2737</v>
      </c>
      <c r="G3233" t="s">
        <v>25</v>
      </c>
      <c r="H3233" t="s">
        <v>332</v>
      </c>
      <c r="I3233"/>
    </row>
    <row r="3234" spans="1:9">
      <c r="A3234" t="s">
        <v>3167</v>
      </c>
      <c r="B3234" s="1" t="str">
        <f>"11012205"</f>
        <v>11012205</v>
      </c>
      <c r="C3234" t="s">
        <v>3170</v>
      </c>
      <c r="D3234" t="s">
        <v>3211</v>
      </c>
      <c r="E3234" s="2">
        <v>0.28</v>
      </c>
      <c r="F3234" t="s">
        <v>12</v>
      </c>
      <c r="G3234" t="s">
        <v>29</v>
      </c>
      <c r="H3234" t="s">
        <v>332</v>
      </c>
      <c r="I3234"/>
    </row>
    <row r="3235" spans="1:9">
      <c r="A3235" t="s">
        <v>3167</v>
      </c>
      <c r="B3235" s="1" t="str">
        <f>"11012090"</f>
        <v>11012090</v>
      </c>
      <c r="C3235" t="s">
        <v>3170</v>
      </c>
      <c r="D3235" t="s">
        <v>3212</v>
      </c>
      <c r="E3235" s="2">
        <v>0.4</v>
      </c>
      <c r="F3235" t="s">
        <v>12</v>
      </c>
      <c r="G3235" t="s">
        <v>25</v>
      </c>
      <c r="H3235" t="s">
        <v>332</v>
      </c>
      <c r="I3235"/>
    </row>
    <row r="3236" spans="1:9">
      <c r="A3236" t="s">
        <v>3167</v>
      </c>
      <c r="B3236" s="1" t="str">
        <f>"11012060"</f>
        <v>11012060</v>
      </c>
      <c r="C3236" t="s">
        <v>3170</v>
      </c>
      <c r="D3236" t="s">
        <v>3213</v>
      </c>
      <c r="E3236" s="2">
        <v>0.2</v>
      </c>
      <c r="F3236" t="s">
        <v>24</v>
      </c>
      <c r="G3236" t="s">
        <v>25</v>
      </c>
      <c r="H3236" t="s">
        <v>332</v>
      </c>
      <c r="I3236"/>
    </row>
    <row r="3237" spans="1:9">
      <c r="A3237" t="s">
        <v>3167</v>
      </c>
      <c r="B3237" s="1" t="str">
        <f>"11012110"</f>
        <v>11012110</v>
      </c>
      <c r="C3237" t="s">
        <v>3170</v>
      </c>
      <c r="D3237" t="s">
        <v>3214</v>
      </c>
      <c r="E3237" s="2">
        <v>0.17</v>
      </c>
      <c r="F3237" t="s">
        <v>12</v>
      </c>
      <c r="G3237" t="s">
        <v>29</v>
      </c>
      <c r="H3237" t="s">
        <v>332</v>
      </c>
      <c r="I3237"/>
    </row>
    <row r="3238" spans="1:9">
      <c r="A3238" t="s">
        <v>3167</v>
      </c>
      <c r="B3238" s="1" t="str">
        <f>"11010157"</f>
        <v>11010157</v>
      </c>
      <c r="C3238" t="s">
        <v>3170</v>
      </c>
      <c r="D3238" t="s">
        <v>3215</v>
      </c>
      <c r="E3238" s="2">
        <v>0.33</v>
      </c>
      <c r="F3238" t="s">
        <v>24</v>
      </c>
      <c r="G3238" t="s">
        <v>29</v>
      </c>
      <c r="H3238" t="s">
        <v>332</v>
      </c>
      <c r="I3238"/>
    </row>
    <row r="3239" spans="1:9">
      <c r="A3239" t="s">
        <v>3167</v>
      </c>
      <c r="B3239" s="1" t="str">
        <f>"11010282"</f>
        <v>11010282</v>
      </c>
      <c r="C3239" t="s">
        <v>3170</v>
      </c>
      <c r="D3239" t="s">
        <v>3215</v>
      </c>
      <c r="E3239" s="2">
        <v>0.33</v>
      </c>
      <c r="F3239" t="s">
        <v>12</v>
      </c>
      <c r="G3239" t="s">
        <v>29</v>
      </c>
      <c r="H3239" t="s">
        <v>332</v>
      </c>
      <c r="I3239"/>
    </row>
    <row r="3240" spans="1:9">
      <c r="A3240" t="s">
        <v>3167</v>
      </c>
      <c r="B3240" s="1" t="str">
        <f>"11012024"</f>
        <v>11012024</v>
      </c>
      <c r="C3240" t="s">
        <v>3170</v>
      </c>
      <c r="D3240" t="s">
        <v>3216</v>
      </c>
      <c r="E3240" s="2">
        <v>0.2</v>
      </c>
      <c r="F3240" t="s">
        <v>12</v>
      </c>
      <c r="G3240" t="s">
        <v>29</v>
      </c>
      <c r="H3240" t="s">
        <v>332</v>
      </c>
      <c r="I3240"/>
    </row>
    <row r="3241" spans="1:9">
      <c r="A3241" t="s">
        <v>3167</v>
      </c>
      <c r="B3241" s="1" t="str">
        <f>"11232610"</f>
        <v>11232610</v>
      </c>
      <c r="C3241" t="s">
        <v>3170</v>
      </c>
      <c r="D3241" t="s">
        <v>3217</v>
      </c>
      <c r="E3241" s="2">
        <v>0.423</v>
      </c>
      <c r="F3241" t="s">
        <v>2737</v>
      </c>
      <c r="G3241" t="s">
        <v>25</v>
      </c>
      <c r="H3241" t="s">
        <v>332</v>
      </c>
      <c r="I3241"/>
    </row>
    <row r="3242" spans="1:9">
      <c r="A3242" t="s">
        <v>3167</v>
      </c>
      <c r="B3242" s="1" t="str">
        <f>"11232612"</f>
        <v>11232612</v>
      </c>
      <c r="C3242" t="s">
        <v>3170</v>
      </c>
      <c r="D3242" t="s">
        <v>3218</v>
      </c>
      <c r="E3242" s="2">
        <v>0.3</v>
      </c>
      <c r="F3242" t="s">
        <v>2737</v>
      </c>
      <c r="G3242" t="s">
        <v>25</v>
      </c>
      <c r="H3242" t="s">
        <v>332</v>
      </c>
      <c r="I3242"/>
    </row>
    <row r="3243" spans="1:9">
      <c r="A3243" t="s">
        <v>3167</v>
      </c>
      <c r="B3243" s="1" t="str">
        <f>"11120110"</f>
        <v>11120110</v>
      </c>
      <c r="C3243" t="s">
        <v>3170</v>
      </c>
      <c r="D3243" t="s">
        <v>3219</v>
      </c>
      <c r="E3243" s="2">
        <v>0.4</v>
      </c>
      <c r="F3243" t="s">
        <v>12</v>
      </c>
      <c r="G3243" t="s">
        <v>25</v>
      </c>
      <c r="H3243" t="s">
        <v>332</v>
      </c>
      <c r="I3243"/>
    </row>
    <row r="3244" spans="1:9">
      <c r="A3244" t="s">
        <v>3167</v>
      </c>
      <c r="B3244" s="1" t="str">
        <f>"11010231"</f>
        <v>11010231</v>
      </c>
      <c r="C3244" t="s">
        <v>3170</v>
      </c>
      <c r="D3244" t="s">
        <v>3220</v>
      </c>
      <c r="E3244" s="2">
        <v>0.35</v>
      </c>
      <c r="F3244" t="s">
        <v>12</v>
      </c>
      <c r="G3244"/>
      <c r="H3244" t="s">
        <v>332</v>
      </c>
      <c r="I3244"/>
    </row>
    <row r="3245" spans="1:9">
      <c r="A3245" t="s">
        <v>3167</v>
      </c>
      <c r="B3245" s="1" t="str">
        <f>"11010191"</f>
        <v>11010191</v>
      </c>
      <c r="C3245" t="s">
        <v>3170</v>
      </c>
      <c r="D3245" t="s">
        <v>3221</v>
      </c>
      <c r="E3245" s="2">
        <v>0.35</v>
      </c>
      <c r="F3245" t="s">
        <v>12</v>
      </c>
      <c r="G3245" t="s">
        <v>29</v>
      </c>
      <c r="H3245" t="s">
        <v>332</v>
      </c>
      <c r="I3245"/>
    </row>
    <row r="3246" spans="1:9">
      <c r="A3246" t="s">
        <v>3167</v>
      </c>
      <c r="B3246" s="1" t="str">
        <f>"11010161"</f>
        <v>11010161</v>
      </c>
      <c r="C3246" t="s">
        <v>3170</v>
      </c>
      <c r="D3246" t="s">
        <v>3222</v>
      </c>
      <c r="E3246" s="2">
        <v>0.35</v>
      </c>
      <c r="F3246" t="s">
        <v>12</v>
      </c>
      <c r="G3246" t="s">
        <v>29</v>
      </c>
      <c r="H3246" t="s">
        <v>332</v>
      </c>
      <c r="I3246"/>
    </row>
    <row r="3247" spans="1:9">
      <c r="A3247" t="s">
        <v>3167</v>
      </c>
      <c r="B3247" s="1" t="str">
        <f>"11010162"</f>
        <v>11010162</v>
      </c>
      <c r="C3247" t="s">
        <v>3170</v>
      </c>
      <c r="D3247" t="s">
        <v>3222</v>
      </c>
      <c r="E3247" s="2">
        <v>0.35</v>
      </c>
      <c r="F3247" t="s">
        <v>24</v>
      </c>
      <c r="G3247" t="s">
        <v>29</v>
      </c>
      <c r="H3247" t="s">
        <v>332</v>
      </c>
      <c r="I3247"/>
    </row>
    <row r="3248" spans="1:9">
      <c r="A3248" t="s">
        <v>3167</v>
      </c>
      <c r="B3248" s="1" t="str">
        <f>"11061489"</f>
        <v>11061489</v>
      </c>
      <c r="C3248" t="s">
        <v>3170</v>
      </c>
      <c r="D3248" t="s">
        <v>3223</v>
      </c>
      <c r="E3248" s="2">
        <v>0.25</v>
      </c>
      <c r="F3248" t="s">
        <v>12</v>
      </c>
      <c r="G3248" t="s">
        <v>25</v>
      </c>
      <c r="H3248" t="s">
        <v>332</v>
      </c>
      <c r="I3248"/>
    </row>
    <row r="3249" spans="1:9">
      <c r="A3249" t="s">
        <v>3167</v>
      </c>
      <c r="B3249" s="1" t="str">
        <f>"11012087"</f>
        <v>11012087</v>
      </c>
      <c r="C3249" t="s">
        <v>3170</v>
      </c>
      <c r="D3249" t="s">
        <v>3224</v>
      </c>
      <c r="E3249" s="2">
        <v>0.16</v>
      </c>
      <c r="F3249" t="s">
        <v>12</v>
      </c>
      <c r="G3249" t="s">
        <v>25</v>
      </c>
      <c r="H3249" t="s">
        <v>332</v>
      </c>
      <c r="I3249"/>
    </row>
    <row r="3250" spans="1:9">
      <c r="A3250" t="s">
        <v>3167</v>
      </c>
      <c r="B3250" s="1" t="str">
        <f>"20645588"</f>
        <v>20645588</v>
      </c>
      <c r="C3250" t="s">
        <v>3170</v>
      </c>
      <c r="D3250" t="s">
        <v>3225</v>
      </c>
      <c r="E3250" s="2">
        <v>0.17</v>
      </c>
      <c r="F3250" t="s">
        <v>24</v>
      </c>
      <c r="G3250" t="s">
        <v>218</v>
      </c>
      <c r="H3250" t="s">
        <v>218</v>
      </c>
      <c r="I3250"/>
    </row>
    <row r="3251" spans="1:9">
      <c r="A3251" t="s">
        <v>3167</v>
      </c>
      <c r="B3251" s="1" t="str">
        <f>"23867180"</f>
        <v>23867180</v>
      </c>
      <c r="C3251" t="s">
        <v>3170</v>
      </c>
      <c r="D3251" t="s">
        <v>3226</v>
      </c>
      <c r="E3251" s="2">
        <v>0.17</v>
      </c>
      <c r="F3251"/>
      <c r="G3251" t="s">
        <v>218</v>
      </c>
      <c r="H3251" t="s">
        <v>218</v>
      </c>
      <c r="I3251"/>
    </row>
    <row r="3252" spans="1:9">
      <c r="A3252" t="s">
        <v>3167</v>
      </c>
      <c r="B3252" s="1" t="str">
        <f>"20633530"</f>
        <v>20633530</v>
      </c>
      <c r="C3252" t="s">
        <v>3170</v>
      </c>
      <c r="D3252" t="s">
        <v>3227</v>
      </c>
      <c r="E3252" s="2">
        <v>0.17</v>
      </c>
      <c r="F3252" t="s">
        <v>24</v>
      </c>
      <c r="G3252" t="s">
        <v>218</v>
      </c>
      <c r="H3252" t="s">
        <v>218</v>
      </c>
      <c r="I3252"/>
    </row>
    <row r="3253" spans="1:9">
      <c r="A3253" t="s">
        <v>3167</v>
      </c>
      <c r="B3253" s="1" t="str">
        <f>"20647164"</f>
        <v>20647164</v>
      </c>
      <c r="C3253" t="s">
        <v>3170</v>
      </c>
      <c r="D3253" t="s">
        <v>3228</v>
      </c>
      <c r="E3253" s="2">
        <v>0.17</v>
      </c>
      <c r="F3253" t="s">
        <v>24</v>
      </c>
      <c r="G3253" t="s">
        <v>218</v>
      </c>
      <c r="H3253" t="s">
        <v>218</v>
      </c>
      <c r="I3253"/>
    </row>
    <row r="3254" spans="1:9">
      <c r="A3254" t="s">
        <v>3167</v>
      </c>
      <c r="B3254" s="1" t="str">
        <f>"20744935"</f>
        <v>20744935</v>
      </c>
      <c r="C3254" t="s">
        <v>3170</v>
      </c>
      <c r="D3254" t="s">
        <v>3229</v>
      </c>
      <c r="E3254" s="2">
        <v>0.17</v>
      </c>
      <c r="F3254" t="s">
        <v>24</v>
      </c>
      <c r="G3254" t="s">
        <v>218</v>
      </c>
      <c r="H3254" t="s">
        <v>218</v>
      </c>
      <c r="I3254"/>
    </row>
    <row r="3255" spans="1:9">
      <c r="A3255" t="s">
        <v>3167</v>
      </c>
      <c r="B3255" s="1" t="str">
        <f>"11012063"</f>
        <v>11012063</v>
      </c>
      <c r="C3255" t="s">
        <v>3170</v>
      </c>
      <c r="D3255" t="s">
        <v>3230</v>
      </c>
      <c r="E3255" s="2">
        <v>0.2</v>
      </c>
      <c r="F3255" t="s">
        <v>2737</v>
      </c>
      <c r="G3255" t="s">
        <v>25</v>
      </c>
      <c r="H3255" t="s">
        <v>332</v>
      </c>
      <c r="I3255"/>
    </row>
    <row r="3256" spans="1:9">
      <c r="A3256" t="s">
        <v>3167</v>
      </c>
      <c r="B3256" s="1" t="str">
        <f>"11010347"</f>
        <v>11010347</v>
      </c>
      <c r="C3256" t="s">
        <v>3170</v>
      </c>
      <c r="D3256" t="s">
        <v>3231</v>
      </c>
      <c r="E3256" s="2">
        <v>0.4</v>
      </c>
      <c r="F3256" t="s">
        <v>2737</v>
      </c>
      <c r="G3256" t="s">
        <v>25</v>
      </c>
      <c r="H3256" t="s">
        <v>332</v>
      </c>
      <c r="I3256"/>
    </row>
    <row r="3257" spans="1:9">
      <c r="A3257" t="s">
        <v>3167</v>
      </c>
      <c r="B3257" s="1" t="str">
        <f>"11014616"</f>
        <v>11014616</v>
      </c>
      <c r="C3257" t="s">
        <v>3170</v>
      </c>
      <c r="D3257" t="s">
        <v>3232</v>
      </c>
      <c r="E3257" s="2">
        <v>0.31</v>
      </c>
      <c r="F3257" t="s">
        <v>12</v>
      </c>
      <c r="G3257" t="s">
        <v>25</v>
      </c>
      <c r="H3257" t="s">
        <v>332</v>
      </c>
      <c r="I3257"/>
    </row>
    <row r="3258" spans="1:9">
      <c r="A3258" t="s">
        <v>3167</v>
      </c>
      <c r="B3258" s="1" t="str">
        <f>"11210575"</f>
        <v>11210575</v>
      </c>
      <c r="C3258" t="s">
        <v>3170</v>
      </c>
      <c r="D3258" t="s">
        <v>3233</v>
      </c>
      <c r="E3258" s="2">
        <v>0.21</v>
      </c>
      <c r="F3258" t="s">
        <v>12</v>
      </c>
      <c r="G3258" t="s">
        <v>25</v>
      </c>
      <c r="H3258" t="s">
        <v>332</v>
      </c>
      <c r="I3258"/>
    </row>
    <row r="3259" spans="1:9">
      <c r="A3259" t="s">
        <v>3167</v>
      </c>
      <c r="B3259" s="1" t="str">
        <f>"11012033"</f>
        <v>11012033</v>
      </c>
      <c r="C3259" t="s">
        <v>3170</v>
      </c>
      <c r="D3259" t="s">
        <v>3234</v>
      </c>
      <c r="E3259" s="2">
        <v>0.2</v>
      </c>
      <c r="F3259" t="s">
        <v>2737</v>
      </c>
      <c r="G3259" t="s">
        <v>29</v>
      </c>
      <c r="H3259" t="s">
        <v>332</v>
      </c>
      <c r="I3259"/>
    </row>
    <row r="3260" spans="1:9">
      <c r="A3260" t="s">
        <v>3167</v>
      </c>
      <c r="B3260" s="1" t="str">
        <f>"11076171"</f>
        <v>11076171</v>
      </c>
      <c r="C3260" t="s">
        <v>3170</v>
      </c>
      <c r="D3260" t="s">
        <v>3235</v>
      </c>
      <c r="E3260" s="2">
        <v>0.17</v>
      </c>
      <c r="F3260" t="s">
        <v>12</v>
      </c>
      <c r="G3260" t="s">
        <v>25</v>
      </c>
      <c r="H3260" t="s">
        <v>332</v>
      </c>
      <c r="I3260"/>
    </row>
    <row r="3261" spans="1:9">
      <c r="A3261" t="s">
        <v>3167</v>
      </c>
      <c r="B3261" s="1" t="str">
        <f>"11061490"</f>
        <v>11061490</v>
      </c>
      <c r="C3261" t="s">
        <v>3170</v>
      </c>
      <c r="D3261" t="s">
        <v>3236</v>
      </c>
      <c r="E3261" s="2">
        <v>0.15</v>
      </c>
      <c r="F3261" t="s">
        <v>2737</v>
      </c>
      <c r="G3261"/>
      <c r="H3261" t="s">
        <v>332</v>
      </c>
      <c r="I3261"/>
    </row>
    <row r="3262" spans="1:9">
      <c r="A3262" t="s">
        <v>3167</v>
      </c>
      <c r="B3262" s="1" t="str">
        <f>"11012025"</f>
        <v>11012025</v>
      </c>
      <c r="C3262" t="s">
        <v>3170</v>
      </c>
      <c r="D3262" t="s">
        <v>3237</v>
      </c>
      <c r="E3262" s="2">
        <v>0.17</v>
      </c>
      <c r="F3262" t="s">
        <v>12</v>
      </c>
      <c r="G3262" t="s">
        <v>25</v>
      </c>
      <c r="H3262" t="s">
        <v>332</v>
      </c>
      <c r="I3262"/>
    </row>
    <row r="3263" spans="1:9">
      <c r="A3263" t="s">
        <v>3167</v>
      </c>
      <c r="B3263" s="1" t="str">
        <f>"11060780"</f>
        <v>11060780</v>
      </c>
      <c r="C3263" t="s">
        <v>3170</v>
      </c>
      <c r="D3263" t="s">
        <v>3238</v>
      </c>
      <c r="E3263" s="2">
        <v>0.25</v>
      </c>
      <c r="F3263" t="s">
        <v>12</v>
      </c>
      <c r="G3263" t="s">
        <v>25</v>
      </c>
      <c r="H3263" t="s">
        <v>332</v>
      </c>
      <c r="I3263"/>
    </row>
    <row r="3264" spans="1:9">
      <c r="A3264" t="s">
        <v>3167</v>
      </c>
      <c r="B3264" s="1" t="str">
        <f>"11012083"</f>
        <v>11012083</v>
      </c>
      <c r="C3264" t="s">
        <v>3170</v>
      </c>
      <c r="D3264" t="s">
        <v>3239</v>
      </c>
      <c r="E3264" s="2">
        <v>0.16</v>
      </c>
      <c r="F3264" t="s">
        <v>2737</v>
      </c>
      <c r="G3264" t="s">
        <v>25</v>
      </c>
      <c r="H3264" t="s">
        <v>25</v>
      </c>
      <c r="I3264"/>
    </row>
    <row r="3265" spans="1:9">
      <c r="A3265" t="s">
        <v>3167</v>
      </c>
      <c r="B3265" s="1" t="str">
        <f>"11012064"</f>
        <v>11012064</v>
      </c>
      <c r="C3265" t="s">
        <v>3170</v>
      </c>
      <c r="D3265" t="s">
        <v>3240</v>
      </c>
      <c r="E3265" s="2">
        <v>0.15</v>
      </c>
      <c r="F3265" t="s">
        <v>2737</v>
      </c>
      <c r="G3265" t="s">
        <v>25</v>
      </c>
      <c r="H3265" t="s">
        <v>332</v>
      </c>
      <c r="I3265"/>
    </row>
    <row r="3266" spans="1:9">
      <c r="A3266" t="s">
        <v>3167</v>
      </c>
      <c r="B3266" s="1" t="str">
        <f>"11012195"</f>
        <v>11012195</v>
      </c>
      <c r="C3266" t="s">
        <v>3170</v>
      </c>
      <c r="D3266" t="s">
        <v>3241</v>
      </c>
      <c r="E3266" s="2">
        <v>0.2</v>
      </c>
      <c r="F3266" t="s">
        <v>12</v>
      </c>
      <c r="G3266" t="s">
        <v>29</v>
      </c>
      <c r="H3266" t="s">
        <v>332</v>
      </c>
      <c r="I3266"/>
    </row>
    <row r="3267" spans="1:9">
      <c r="A3267" t="s">
        <v>3167</v>
      </c>
      <c r="B3267" s="1" t="str">
        <f>"11012002"</f>
        <v>11012002</v>
      </c>
      <c r="C3267" t="s">
        <v>3170</v>
      </c>
      <c r="D3267" t="s">
        <v>3242</v>
      </c>
      <c r="E3267" s="2">
        <v>0.2</v>
      </c>
      <c r="F3267" t="s">
        <v>12</v>
      </c>
      <c r="G3267" t="s">
        <v>25</v>
      </c>
      <c r="H3267" t="s">
        <v>332</v>
      </c>
      <c r="I3267"/>
    </row>
    <row r="3268" spans="1:9">
      <c r="A3268" t="s">
        <v>3167</v>
      </c>
      <c r="B3268" s="1" t="str">
        <f>"11010777"</f>
        <v>11010777</v>
      </c>
      <c r="C3268" t="s">
        <v>3170</v>
      </c>
      <c r="D3268" t="s">
        <v>3243</v>
      </c>
      <c r="E3268" s="2">
        <v>0.15</v>
      </c>
      <c r="F3268" t="s">
        <v>12</v>
      </c>
      <c r="G3268"/>
      <c r="H3268" t="s">
        <v>332</v>
      </c>
      <c r="I3268"/>
    </row>
    <row r="3269" spans="1:9">
      <c r="A3269" t="s">
        <v>3244</v>
      </c>
      <c r="B3269" s="1" t="str">
        <f>"11011119"</f>
        <v>11011119</v>
      </c>
      <c r="C3269" t="s">
        <v>3245</v>
      </c>
      <c r="D3269" t="s">
        <v>3246</v>
      </c>
      <c r="E3269" s="2">
        <v>0.38</v>
      </c>
      <c r="F3269" t="s">
        <v>2947</v>
      </c>
      <c r="G3269" t="s">
        <v>2778</v>
      </c>
      <c r="H3269" t="s">
        <v>332</v>
      </c>
      <c r="I3269"/>
    </row>
    <row r="3270" spans="1:9">
      <c r="A3270" t="s">
        <v>3244</v>
      </c>
      <c r="B3270" s="1" t="str">
        <f>"11011127"</f>
        <v>11011127</v>
      </c>
      <c r="C3270" t="s">
        <v>3245</v>
      </c>
      <c r="D3270" t="s">
        <v>3247</v>
      </c>
      <c r="E3270" s="2">
        <v>0.4</v>
      </c>
      <c r="F3270"/>
      <c r="G3270" t="s">
        <v>218</v>
      </c>
      <c r="H3270" t="s">
        <v>218</v>
      </c>
      <c r="I3270"/>
    </row>
    <row r="3271" spans="1:9">
      <c r="A3271" t="s">
        <v>3244</v>
      </c>
      <c r="B3271" s="1" t="str">
        <f>"11012256"</f>
        <v>11012256</v>
      </c>
      <c r="C3271" t="s">
        <v>3245</v>
      </c>
      <c r="D3271" t="s">
        <v>3248</v>
      </c>
      <c r="E3271" s="2">
        <v>0.4</v>
      </c>
      <c r="F3271" t="s">
        <v>12</v>
      </c>
      <c r="G3271" t="s">
        <v>25</v>
      </c>
      <c r="H3271" t="s">
        <v>332</v>
      </c>
      <c r="I3271"/>
    </row>
    <row r="3272" spans="1:9">
      <c r="A3272" t="s">
        <v>3244</v>
      </c>
      <c r="B3272" s="1" t="str">
        <f>"11012261"</f>
        <v>11012261</v>
      </c>
      <c r="C3272" t="s">
        <v>3245</v>
      </c>
      <c r="D3272" t="s">
        <v>3248</v>
      </c>
      <c r="E3272" s="2">
        <v>0.4</v>
      </c>
      <c r="F3272" t="s">
        <v>24</v>
      </c>
      <c r="G3272" t="s">
        <v>29</v>
      </c>
      <c r="H3272" t="s">
        <v>332</v>
      </c>
      <c r="I3272"/>
    </row>
    <row r="3273" spans="1:9">
      <c r="A3273" t="s">
        <v>3244</v>
      </c>
      <c r="B3273" s="1" t="str">
        <f>"11054102"</f>
        <v>11054102</v>
      </c>
      <c r="C3273" t="s">
        <v>3245</v>
      </c>
      <c r="D3273" t="s">
        <v>3249</v>
      </c>
      <c r="E3273" s="2">
        <v>0.4</v>
      </c>
      <c r="F3273" t="s">
        <v>2737</v>
      </c>
      <c r="G3273" t="s">
        <v>25</v>
      </c>
      <c r="H3273" t="s">
        <v>332</v>
      </c>
      <c r="I3273"/>
    </row>
    <row r="3274" spans="1:9">
      <c r="A3274" t="s">
        <v>3244</v>
      </c>
      <c r="B3274" s="1" t="str">
        <f>"11012259"</f>
        <v>11012259</v>
      </c>
      <c r="C3274" t="s">
        <v>3245</v>
      </c>
      <c r="D3274" t="s">
        <v>3250</v>
      </c>
      <c r="E3274" s="2">
        <v>0.4</v>
      </c>
      <c r="F3274" t="s">
        <v>12</v>
      </c>
      <c r="G3274" t="s">
        <v>25</v>
      </c>
      <c r="H3274" t="s">
        <v>332</v>
      </c>
      <c r="I3274"/>
    </row>
    <row r="3275" spans="1:9">
      <c r="A3275" t="s">
        <v>3244</v>
      </c>
      <c r="B3275" s="1" t="str">
        <f>"11011183"</f>
        <v>11011183</v>
      </c>
      <c r="C3275" t="s">
        <v>3245</v>
      </c>
      <c r="D3275" t="s">
        <v>3251</v>
      </c>
      <c r="E3275" s="2">
        <v>0.4</v>
      </c>
      <c r="F3275" t="s">
        <v>2737</v>
      </c>
      <c r="G3275" t="s">
        <v>25</v>
      </c>
      <c r="H3275" t="s">
        <v>332</v>
      </c>
      <c r="I3275"/>
    </row>
    <row r="3276" spans="1:9">
      <c r="A3276" t="s">
        <v>3244</v>
      </c>
      <c r="B3276" s="1" t="str">
        <f>"11011122"</f>
        <v>11011122</v>
      </c>
      <c r="C3276" t="s">
        <v>3245</v>
      </c>
      <c r="D3276" t="s">
        <v>3252</v>
      </c>
      <c r="E3276" s="2">
        <v>0.4</v>
      </c>
      <c r="F3276" t="s">
        <v>12</v>
      </c>
      <c r="G3276" t="s">
        <v>25</v>
      </c>
      <c r="H3276" t="s">
        <v>332</v>
      </c>
      <c r="I3276"/>
    </row>
    <row r="3277" spans="1:9">
      <c r="A3277" t="s">
        <v>3244</v>
      </c>
      <c r="B3277" s="1" t="str">
        <f>"11011118"</f>
        <v>11011118</v>
      </c>
      <c r="C3277" t="s">
        <v>3245</v>
      </c>
      <c r="D3277" t="s">
        <v>3253</v>
      </c>
      <c r="E3277" s="2">
        <v>0.36</v>
      </c>
      <c r="F3277" t="s">
        <v>12</v>
      </c>
      <c r="G3277" t="s">
        <v>29</v>
      </c>
      <c r="H3277" t="s">
        <v>25</v>
      </c>
      <c r="I3277"/>
    </row>
    <row r="3278" spans="1:9">
      <c r="A3278" t="s">
        <v>3244</v>
      </c>
      <c r="B3278" s="1" t="str">
        <f>"11051684"</f>
        <v>11051684</v>
      </c>
      <c r="C3278" t="s">
        <v>3245</v>
      </c>
      <c r="D3278" t="s">
        <v>3254</v>
      </c>
      <c r="E3278" s="2">
        <v>0.4</v>
      </c>
      <c r="F3278" t="s">
        <v>2737</v>
      </c>
      <c r="G3278" t="s">
        <v>25</v>
      </c>
      <c r="H3278" t="s">
        <v>332</v>
      </c>
      <c r="I3278"/>
    </row>
    <row r="3279" spans="1:9">
      <c r="A3279" t="s">
        <v>3244</v>
      </c>
      <c r="B3279" s="1" t="str">
        <f>"11011111"</f>
        <v>11011111</v>
      </c>
      <c r="C3279" t="s">
        <v>3245</v>
      </c>
      <c r="D3279" t="s">
        <v>3255</v>
      </c>
      <c r="E3279" s="2">
        <v>0.36</v>
      </c>
      <c r="F3279" t="s">
        <v>12</v>
      </c>
      <c r="G3279" t="s">
        <v>25</v>
      </c>
      <c r="H3279" t="s">
        <v>332</v>
      </c>
      <c r="I3279"/>
    </row>
    <row r="3280" spans="1:9">
      <c r="A3280" t="s">
        <v>3244</v>
      </c>
      <c r="B3280" s="1" t="str">
        <f>"11011172"</f>
        <v>11011172</v>
      </c>
      <c r="C3280" t="s">
        <v>3245</v>
      </c>
      <c r="D3280" t="s">
        <v>3256</v>
      </c>
      <c r="E3280" s="2">
        <v>0.38</v>
      </c>
      <c r="F3280" t="s">
        <v>2737</v>
      </c>
      <c r="G3280" t="s">
        <v>25</v>
      </c>
      <c r="H3280" t="s">
        <v>332</v>
      </c>
      <c r="I3280"/>
    </row>
    <row r="3281" spans="1:9">
      <c r="A3281" t="s">
        <v>3244</v>
      </c>
      <c r="B3281" s="1" t="str">
        <f>"11011186"</f>
        <v>11011186</v>
      </c>
      <c r="C3281" t="s">
        <v>3245</v>
      </c>
      <c r="D3281" t="s">
        <v>3257</v>
      </c>
      <c r="E3281" s="2">
        <v>0.38</v>
      </c>
      <c r="F3281" t="s">
        <v>12</v>
      </c>
      <c r="G3281" t="s">
        <v>29</v>
      </c>
      <c r="H3281" t="s">
        <v>332</v>
      </c>
      <c r="I3281"/>
    </row>
    <row r="3282" spans="1:9">
      <c r="A3282" t="s">
        <v>3244</v>
      </c>
      <c r="B3282" s="1" t="str">
        <f>"11011187"</f>
        <v>11011187</v>
      </c>
      <c r="C3282" t="s">
        <v>3245</v>
      </c>
      <c r="D3282" t="s">
        <v>3258</v>
      </c>
      <c r="E3282" s="2">
        <v>0.4</v>
      </c>
      <c r="F3282" t="s">
        <v>12</v>
      </c>
      <c r="G3282" t="s">
        <v>29</v>
      </c>
      <c r="H3282" t="s">
        <v>332</v>
      </c>
      <c r="I3282"/>
    </row>
    <row r="3283" spans="1:9">
      <c r="A3283" t="s">
        <v>3244</v>
      </c>
      <c r="B3283" s="1" t="str">
        <f>"11011170"</f>
        <v>11011170</v>
      </c>
      <c r="C3283" t="s">
        <v>3245</v>
      </c>
      <c r="D3283" t="s">
        <v>3259</v>
      </c>
      <c r="E3283" s="2">
        <v>0.36</v>
      </c>
      <c r="F3283" t="s">
        <v>12</v>
      </c>
      <c r="G3283" t="s">
        <v>29</v>
      </c>
      <c r="H3283" t="s">
        <v>332</v>
      </c>
      <c r="I3283"/>
    </row>
    <row r="3284" spans="1:9">
      <c r="A3284" t="s">
        <v>3244</v>
      </c>
      <c r="B3284" s="1" t="str">
        <f>"11011165"</f>
        <v>11011165</v>
      </c>
      <c r="C3284" t="s">
        <v>3245</v>
      </c>
      <c r="D3284" t="s">
        <v>3260</v>
      </c>
      <c r="E3284" s="2">
        <v>0.3</v>
      </c>
      <c r="F3284" t="s">
        <v>12</v>
      </c>
      <c r="G3284" t="s">
        <v>29</v>
      </c>
      <c r="H3284" t="s">
        <v>332</v>
      </c>
      <c r="I3284"/>
    </row>
    <row r="3285" spans="1:9">
      <c r="A3285" t="s">
        <v>3244</v>
      </c>
      <c r="B3285" s="1" t="str">
        <f>"11011163"</f>
        <v>11011163</v>
      </c>
      <c r="C3285" t="s">
        <v>3245</v>
      </c>
      <c r="D3285" t="s">
        <v>3261</v>
      </c>
      <c r="E3285" s="2">
        <v>0.3</v>
      </c>
      <c r="F3285" t="s">
        <v>12</v>
      </c>
      <c r="G3285" t="s">
        <v>29</v>
      </c>
      <c r="H3285" t="s">
        <v>332</v>
      </c>
      <c r="I3285"/>
    </row>
    <row r="3286" spans="1:9">
      <c r="A3286" t="s">
        <v>3244</v>
      </c>
      <c r="B3286" s="1" t="str">
        <f>"11010175"</f>
        <v>11010175</v>
      </c>
      <c r="C3286" t="s">
        <v>3245</v>
      </c>
      <c r="D3286" t="s">
        <v>3262</v>
      </c>
      <c r="E3286" s="2">
        <v>0.37</v>
      </c>
      <c r="F3286" t="s">
        <v>12</v>
      </c>
      <c r="G3286" t="s">
        <v>25</v>
      </c>
      <c r="H3286" t="s">
        <v>332</v>
      </c>
      <c r="I3286"/>
    </row>
    <row r="3287" spans="1:9">
      <c r="A3287" t="s">
        <v>3244</v>
      </c>
      <c r="B3287" s="1" t="str">
        <f>"11011156"</f>
        <v>11011156</v>
      </c>
      <c r="C3287" t="s">
        <v>3245</v>
      </c>
      <c r="D3287" t="s">
        <v>3263</v>
      </c>
      <c r="E3287" s="2">
        <v>0.4</v>
      </c>
      <c r="F3287" t="s">
        <v>12</v>
      </c>
      <c r="G3287" t="s">
        <v>29</v>
      </c>
      <c r="H3287" t="s">
        <v>332</v>
      </c>
      <c r="I3287"/>
    </row>
    <row r="3288" spans="1:9">
      <c r="A3288" t="s">
        <v>3244</v>
      </c>
      <c r="B3288" s="1" t="str">
        <f>"11011117"</f>
        <v>11011117</v>
      </c>
      <c r="C3288" t="s">
        <v>3245</v>
      </c>
      <c r="D3288" t="s">
        <v>3264</v>
      </c>
      <c r="E3288" s="2">
        <v>0.38</v>
      </c>
      <c r="F3288" t="s">
        <v>12</v>
      </c>
      <c r="G3288" t="s">
        <v>25</v>
      </c>
      <c r="H3288" t="s">
        <v>332</v>
      </c>
      <c r="I3288"/>
    </row>
    <row r="3289" spans="1:9">
      <c r="A3289" t="s">
        <v>3244</v>
      </c>
      <c r="B3289" s="1" t="str">
        <f>"11011123"</f>
        <v>11011123</v>
      </c>
      <c r="C3289" t="s">
        <v>3245</v>
      </c>
      <c r="D3289" t="s">
        <v>3265</v>
      </c>
      <c r="E3289" s="2">
        <v>0.38</v>
      </c>
      <c r="F3289" t="s">
        <v>12</v>
      </c>
      <c r="G3289"/>
      <c r="H3289" t="s">
        <v>332</v>
      </c>
      <c r="I3289"/>
    </row>
    <row r="3290" spans="1:9">
      <c r="A3290" t="s">
        <v>3244</v>
      </c>
      <c r="B3290" s="1" t="str">
        <f>"11075731"</f>
        <v>11075731</v>
      </c>
      <c r="C3290" t="s">
        <v>3245</v>
      </c>
      <c r="D3290" t="s">
        <v>3266</v>
      </c>
      <c r="E3290" s="2">
        <v>0.4</v>
      </c>
      <c r="F3290" t="s">
        <v>12</v>
      </c>
      <c r="G3290" t="s">
        <v>25</v>
      </c>
      <c r="H3290" t="s">
        <v>332</v>
      </c>
      <c r="I3290"/>
    </row>
    <row r="3291" spans="1:9">
      <c r="A3291" t="s">
        <v>3267</v>
      </c>
      <c r="B3291" s="1" t="str">
        <f>"11010314"</f>
        <v>11010314</v>
      </c>
      <c r="C3291" t="s">
        <v>3268</v>
      </c>
      <c r="D3291" t="s">
        <v>3269</v>
      </c>
      <c r="E3291" s="2">
        <v>0.38</v>
      </c>
      <c r="F3291" t="s">
        <v>12</v>
      </c>
      <c r="G3291" t="s">
        <v>25</v>
      </c>
      <c r="H3291" t="s">
        <v>332</v>
      </c>
      <c r="I3291"/>
    </row>
    <row r="3292" spans="1:9">
      <c r="A3292" t="s">
        <v>3267</v>
      </c>
      <c r="B3292" s="1" t="str">
        <f>"11010101"</f>
        <v>11010101</v>
      </c>
      <c r="C3292" t="s">
        <v>3268</v>
      </c>
      <c r="D3292" t="s">
        <v>3270</v>
      </c>
      <c r="E3292" s="2">
        <v>0.45</v>
      </c>
      <c r="F3292" t="s">
        <v>12</v>
      </c>
      <c r="G3292" t="s">
        <v>25</v>
      </c>
      <c r="H3292" t="s">
        <v>332</v>
      </c>
      <c r="I3292"/>
    </row>
    <row r="3293" spans="1:9">
      <c r="A3293" t="s">
        <v>3267</v>
      </c>
      <c r="B3293" s="1" t="str">
        <f>"11010106"</f>
        <v>11010106</v>
      </c>
      <c r="C3293" t="s">
        <v>3268</v>
      </c>
      <c r="D3293" t="s">
        <v>3271</v>
      </c>
      <c r="E3293" s="2">
        <v>0.41</v>
      </c>
      <c r="F3293" t="s">
        <v>12</v>
      </c>
      <c r="G3293" t="s">
        <v>25</v>
      </c>
      <c r="H3293" t="s">
        <v>332</v>
      </c>
      <c r="I3293"/>
    </row>
    <row r="3294" spans="1:9">
      <c r="A3294" t="s">
        <v>3267</v>
      </c>
      <c r="B3294" s="1" t="str">
        <f>"11010109"</f>
        <v>11010109</v>
      </c>
      <c r="C3294" t="s">
        <v>3268</v>
      </c>
      <c r="D3294" t="s">
        <v>3272</v>
      </c>
      <c r="E3294" s="2">
        <v>0.415</v>
      </c>
      <c r="F3294" t="s">
        <v>12</v>
      </c>
      <c r="G3294" t="s">
        <v>29</v>
      </c>
      <c r="H3294" t="s">
        <v>332</v>
      </c>
      <c r="I3294"/>
    </row>
    <row r="3295" spans="1:9">
      <c r="A3295" t="s">
        <v>3267</v>
      </c>
      <c r="B3295" s="1" t="str">
        <f>"11010103"</f>
        <v>11010103</v>
      </c>
      <c r="C3295" t="s">
        <v>3268</v>
      </c>
      <c r="D3295" t="s">
        <v>3273</v>
      </c>
      <c r="E3295" s="2">
        <v>0.4</v>
      </c>
      <c r="F3295" t="s">
        <v>12</v>
      </c>
      <c r="G3295" t="s">
        <v>25</v>
      </c>
      <c r="H3295" t="s">
        <v>332</v>
      </c>
      <c r="I3295"/>
    </row>
    <row r="3296" spans="1:9">
      <c r="A3296" t="s">
        <v>3267</v>
      </c>
      <c r="B3296" s="1" t="str">
        <f>"11010111"</f>
        <v>11010111</v>
      </c>
      <c r="C3296" t="s">
        <v>3170</v>
      </c>
      <c r="D3296" t="s">
        <v>3274</v>
      </c>
      <c r="E3296" s="2">
        <v>0.38</v>
      </c>
      <c r="F3296" t="s">
        <v>2737</v>
      </c>
      <c r="G3296" t="s">
        <v>25</v>
      </c>
      <c r="H3296" t="s">
        <v>332</v>
      </c>
      <c r="I3296"/>
    </row>
    <row r="3297" spans="1:9">
      <c r="A3297" t="s">
        <v>3275</v>
      </c>
      <c r="B3297" s="1" t="str">
        <f>"11010279"</f>
        <v>11010279</v>
      </c>
      <c r="C3297" t="s">
        <v>3276</v>
      </c>
      <c r="D3297" t="s">
        <v>3277</v>
      </c>
      <c r="E3297" s="2">
        <v>0.38</v>
      </c>
      <c r="F3297" t="s">
        <v>2737</v>
      </c>
      <c r="G3297" t="s">
        <v>29</v>
      </c>
      <c r="H3297" t="s">
        <v>332</v>
      </c>
      <c r="I3297"/>
    </row>
    <row r="3298" spans="1:9">
      <c r="A3298" t="s">
        <v>3275</v>
      </c>
      <c r="B3298" s="1" t="str">
        <f>"11010272"</f>
        <v>11010272</v>
      </c>
      <c r="C3298" t="s">
        <v>3276</v>
      </c>
      <c r="D3298" t="s">
        <v>3278</v>
      </c>
      <c r="E3298" s="2">
        <v>0.38</v>
      </c>
      <c r="F3298" t="s">
        <v>2737</v>
      </c>
      <c r="G3298" t="s">
        <v>29</v>
      </c>
      <c r="H3298" t="s">
        <v>332</v>
      </c>
      <c r="I3298"/>
    </row>
    <row r="3299" spans="1:9">
      <c r="A3299" t="s">
        <v>3275</v>
      </c>
      <c r="B3299" s="1" t="str">
        <f>"11010131"</f>
        <v>11010131</v>
      </c>
      <c r="C3299" t="s">
        <v>3276</v>
      </c>
      <c r="D3299" t="s">
        <v>3279</v>
      </c>
      <c r="E3299" s="2">
        <v>0.4</v>
      </c>
      <c r="F3299" t="s">
        <v>2737</v>
      </c>
      <c r="G3299" t="s">
        <v>25</v>
      </c>
      <c r="H3299" t="s">
        <v>332</v>
      </c>
      <c r="I3299"/>
    </row>
    <row r="3300" spans="1:9">
      <c r="A3300" t="s">
        <v>3275</v>
      </c>
      <c r="B3300" s="1" t="str">
        <f>"11010132"</f>
        <v>11010132</v>
      </c>
      <c r="C3300" t="s">
        <v>3276</v>
      </c>
      <c r="D3300" t="s">
        <v>3280</v>
      </c>
      <c r="E3300" s="2">
        <v>0.4</v>
      </c>
      <c r="F3300" t="s">
        <v>2737</v>
      </c>
      <c r="G3300" t="s">
        <v>25</v>
      </c>
      <c r="H3300" t="s">
        <v>332</v>
      </c>
      <c r="I3300"/>
    </row>
    <row r="3301" spans="1:9">
      <c r="A3301" t="s">
        <v>3275</v>
      </c>
      <c r="B3301" s="1" t="str">
        <f>"11010133"</f>
        <v>11010133</v>
      </c>
      <c r="C3301" t="s">
        <v>3276</v>
      </c>
      <c r="D3301" t="s">
        <v>3281</v>
      </c>
      <c r="E3301" s="2">
        <v>0.4</v>
      </c>
      <c r="F3301" t="s">
        <v>2737</v>
      </c>
      <c r="G3301" t="s">
        <v>25</v>
      </c>
      <c r="H3301" t="s">
        <v>332</v>
      </c>
      <c r="I3301"/>
    </row>
    <row r="3302" spans="1:9">
      <c r="A3302" t="s">
        <v>3275</v>
      </c>
      <c r="B3302" s="1" t="str">
        <f>"11010127"</f>
        <v>11010127</v>
      </c>
      <c r="C3302" t="s">
        <v>3276</v>
      </c>
      <c r="D3302" t="s">
        <v>3282</v>
      </c>
      <c r="E3302" s="2">
        <v>0.4</v>
      </c>
      <c r="F3302" t="s">
        <v>12</v>
      </c>
      <c r="G3302" t="s">
        <v>29</v>
      </c>
      <c r="H3302" t="s">
        <v>332</v>
      </c>
      <c r="I3302"/>
    </row>
    <row r="3303" spans="1:9">
      <c r="A3303" t="s">
        <v>3275</v>
      </c>
      <c r="B3303" s="1" t="str">
        <f>"11010123"</f>
        <v>11010123</v>
      </c>
      <c r="C3303" t="s">
        <v>3276</v>
      </c>
      <c r="D3303" t="s">
        <v>3283</v>
      </c>
      <c r="E3303" s="2">
        <v>0.4</v>
      </c>
      <c r="F3303" t="s">
        <v>12</v>
      </c>
      <c r="G3303" t="s">
        <v>29</v>
      </c>
      <c r="H3303" t="s">
        <v>332</v>
      </c>
      <c r="I3303"/>
    </row>
    <row r="3304" spans="1:9">
      <c r="A3304" t="s">
        <v>3275</v>
      </c>
      <c r="B3304" s="1" t="str">
        <f>"11010143"</f>
        <v>11010143</v>
      </c>
      <c r="C3304" t="s">
        <v>3276</v>
      </c>
      <c r="D3304" t="s">
        <v>3284</v>
      </c>
      <c r="E3304" s="2">
        <v>0.4</v>
      </c>
      <c r="F3304" t="s">
        <v>12</v>
      </c>
      <c r="G3304" t="s">
        <v>25</v>
      </c>
      <c r="H3304" t="s">
        <v>332</v>
      </c>
      <c r="I3304"/>
    </row>
    <row r="3305" spans="1:9">
      <c r="A3305" t="s">
        <v>3275</v>
      </c>
      <c r="B3305" s="1" t="str">
        <f>"11010290"</f>
        <v>11010290</v>
      </c>
      <c r="C3305" t="s">
        <v>3276</v>
      </c>
      <c r="D3305" t="s">
        <v>3285</v>
      </c>
      <c r="E3305" s="2">
        <v>0.4</v>
      </c>
      <c r="F3305" t="s">
        <v>2737</v>
      </c>
      <c r="G3305"/>
      <c r="H3305" t="s">
        <v>332</v>
      </c>
      <c r="I3305"/>
    </row>
    <row r="3306" spans="1:9">
      <c r="A3306" t="s">
        <v>3275</v>
      </c>
      <c r="B3306" s="1" t="str">
        <f>"11010292"</f>
        <v>11010292</v>
      </c>
      <c r="C3306" t="s">
        <v>3276</v>
      </c>
      <c r="D3306" t="s">
        <v>3286</v>
      </c>
      <c r="E3306" s="2">
        <v>0.35</v>
      </c>
      <c r="F3306" t="s">
        <v>2737</v>
      </c>
      <c r="G3306"/>
      <c r="H3306" t="s">
        <v>332</v>
      </c>
      <c r="I3306"/>
    </row>
    <row r="3307" spans="1:9">
      <c r="A3307" t="s">
        <v>3275</v>
      </c>
      <c r="B3307" s="1" t="str">
        <f>"11010291"</f>
        <v>11010291</v>
      </c>
      <c r="C3307" t="s">
        <v>3276</v>
      </c>
      <c r="D3307" t="s">
        <v>3287</v>
      </c>
      <c r="E3307" s="2">
        <v>0.35</v>
      </c>
      <c r="F3307" t="s">
        <v>2737</v>
      </c>
      <c r="G3307"/>
      <c r="H3307" t="s">
        <v>332</v>
      </c>
      <c r="I3307"/>
    </row>
    <row r="3308" spans="1:9">
      <c r="A3308" t="s">
        <v>3275</v>
      </c>
      <c r="B3308" s="1" t="str">
        <f>"11010293"</f>
        <v>11010293</v>
      </c>
      <c r="C3308" t="s">
        <v>3276</v>
      </c>
      <c r="D3308" t="s">
        <v>3288</v>
      </c>
      <c r="E3308" s="2">
        <v>0.18</v>
      </c>
      <c r="F3308" t="s">
        <v>12</v>
      </c>
      <c r="G3308"/>
      <c r="H3308" t="s">
        <v>332</v>
      </c>
      <c r="I3308"/>
    </row>
    <row r="3309" spans="1:9">
      <c r="A3309" t="s">
        <v>3275</v>
      </c>
      <c r="B3309" s="1" t="str">
        <f>"11010124"</f>
        <v>11010124</v>
      </c>
      <c r="C3309" t="s">
        <v>3276</v>
      </c>
      <c r="D3309" t="s">
        <v>3289</v>
      </c>
      <c r="E3309" s="2">
        <v>0.38</v>
      </c>
      <c r="F3309" t="s">
        <v>12</v>
      </c>
      <c r="G3309" t="s">
        <v>25</v>
      </c>
      <c r="H3309" t="s">
        <v>332</v>
      </c>
      <c r="I3309"/>
    </row>
    <row r="3310" spans="1:9">
      <c r="A3310" t="s">
        <v>3275</v>
      </c>
      <c r="B3310" s="1" t="str">
        <f>"11010287"</f>
        <v>11010287</v>
      </c>
      <c r="C3310" t="s">
        <v>3276</v>
      </c>
      <c r="D3310" t="s">
        <v>3290</v>
      </c>
      <c r="E3310" s="2">
        <v>0.35</v>
      </c>
      <c r="F3310" t="s">
        <v>12</v>
      </c>
      <c r="G3310" t="s">
        <v>25</v>
      </c>
      <c r="H3310" t="s">
        <v>332</v>
      </c>
      <c r="I3310"/>
    </row>
    <row r="3311" spans="1:9">
      <c r="A3311" t="s">
        <v>3275</v>
      </c>
      <c r="B3311" s="1" t="str">
        <f>"11010289"</f>
        <v>11010289</v>
      </c>
      <c r="C3311" t="s">
        <v>3276</v>
      </c>
      <c r="D3311" t="s">
        <v>3291</v>
      </c>
      <c r="E3311" s="2">
        <v>0.35</v>
      </c>
      <c r="F3311" t="s">
        <v>12</v>
      </c>
      <c r="G3311" t="s">
        <v>29</v>
      </c>
      <c r="H3311" t="s">
        <v>332</v>
      </c>
      <c r="I3311"/>
    </row>
    <row r="3312" spans="1:9">
      <c r="A3312" t="s">
        <v>3275</v>
      </c>
      <c r="B3312" s="1" t="str">
        <f>"11010252"</f>
        <v>11010252</v>
      </c>
      <c r="C3312" t="s">
        <v>3292</v>
      </c>
      <c r="D3312" t="s">
        <v>3293</v>
      </c>
      <c r="E3312" s="2">
        <v>0.38</v>
      </c>
      <c r="F3312" t="s">
        <v>12</v>
      </c>
      <c r="G3312" t="s">
        <v>2780</v>
      </c>
      <c r="H3312" t="s">
        <v>332</v>
      </c>
      <c r="I3312"/>
    </row>
    <row r="3313" spans="1:9">
      <c r="A3313" t="s">
        <v>3275</v>
      </c>
      <c r="B3313" s="1" t="str">
        <f>"11010251"</f>
        <v>11010251</v>
      </c>
      <c r="C3313" t="s">
        <v>3292</v>
      </c>
      <c r="D3313" t="s">
        <v>3294</v>
      </c>
      <c r="E3313" s="2">
        <v>0.38</v>
      </c>
      <c r="F3313" t="s">
        <v>12</v>
      </c>
      <c r="G3313" t="s">
        <v>2780</v>
      </c>
      <c r="H3313" t="s">
        <v>332</v>
      </c>
      <c r="I3313"/>
    </row>
    <row r="3314" spans="1:9">
      <c r="A3314" t="s">
        <v>3275</v>
      </c>
      <c r="B3314" s="1" t="str">
        <f>"11010142"</f>
        <v>11010142</v>
      </c>
      <c r="C3314" t="s">
        <v>3292</v>
      </c>
      <c r="D3314" t="s">
        <v>3295</v>
      </c>
      <c r="E3314" s="2">
        <v>0.4</v>
      </c>
      <c r="F3314" t="s">
        <v>12</v>
      </c>
      <c r="G3314" t="s">
        <v>2780</v>
      </c>
      <c r="H3314" t="s">
        <v>332</v>
      </c>
      <c r="I3314"/>
    </row>
    <row r="3315" spans="1:9">
      <c r="A3315" t="s">
        <v>3275</v>
      </c>
      <c r="B3315" s="1" t="str">
        <f>"11010141"</f>
        <v>11010141</v>
      </c>
      <c r="C3315" t="s">
        <v>3292</v>
      </c>
      <c r="D3315" t="s">
        <v>3296</v>
      </c>
      <c r="E3315" s="2">
        <v>0.4</v>
      </c>
      <c r="F3315" t="s">
        <v>12</v>
      </c>
      <c r="G3315" t="s">
        <v>2780</v>
      </c>
      <c r="H3315" t="s">
        <v>332</v>
      </c>
      <c r="I3315"/>
    </row>
    <row r="3316" spans="1:9">
      <c r="A3316" t="s">
        <v>3275</v>
      </c>
      <c r="B3316" s="1" t="str">
        <f>"11010136"</f>
        <v>11010136</v>
      </c>
      <c r="C3316" t="s">
        <v>3292</v>
      </c>
      <c r="D3316" t="s">
        <v>3297</v>
      </c>
      <c r="E3316" s="2">
        <v>0.38</v>
      </c>
      <c r="F3316" t="s">
        <v>12</v>
      </c>
      <c r="G3316" t="s">
        <v>29</v>
      </c>
      <c r="H3316" t="s">
        <v>332</v>
      </c>
      <c r="I3316"/>
    </row>
    <row r="3317" spans="1:9">
      <c r="A3317" t="s">
        <v>3275</v>
      </c>
      <c r="B3317" s="1" t="str">
        <f>"11010253"</f>
        <v>11010253</v>
      </c>
      <c r="C3317" t="s">
        <v>3292</v>
      </c>
      <c r="D3317" t="s">
        <v>3298</v>
      </c>
      <c r="E3317" s="2">
        <v>0.38</v>
      </c>
      <c r="F3317" t="s">
        <v>2737</v>
      </c>
      <c r="G3317" t="s">
        <v>3299</v>
      </c>
      <c r="H3317" t="s">
        <v>332</v>
      </c>
      <c r="I3317"/>
    </row>
    <row r="3318" spans="1:9">
      <c r="A3318" t="s">
        <v>3275</v>
      </c>
      <c r="B3318" s="1" t="str">
        <f>"11010273"</f>
        <v>11010273</v>
      </c>
      <c r="C3318" t="s">
        <v>3292</v>
      </c>
      <c r="D3318" t="s">
        <v>3300</v>
      </c>
      <c r="E3318" s="2">
        <v>0.15</v>
      </c>
      <c r="F3318" t="s">
        <v>2737</v>
      </c>
      <c r="G3318" t="s">
        <v>2780</v>
      </c>
      <c r="H3318" t="s">
        <v>332</v>
      </c>
      <c r="I3318"/>
    </row>
    <row r="3319" spans="1:9">
      <c r="A3319" t="s">
        <v>3301</v>
      </c>
      <c r="B3319" s="1" t="str">
        <f>"11045903"</f>
        <v>11045903</v>
      </c>
      <c r="C3319" t="s">
        <v>260</v>
      </c>
      <c r="D3319" t="s">
        <v>3302</v>
      </c>
      <c r="E3319" s="2">
        <v>0.4</v>
      </c>
      <c r="F3319" t="s">
        <v>2737</v>
      </c>
      <c r="G3319" t="s">
        <v>25</v>
      </c>
      <c r="H3319" t="s">
        <v>332</v>
      </c>
      <c r="I3319"/>
    </row>
    <row r="3320" spans="1:9">
      <c r="A3320" t="s">
        <v>3301</v>
      </c>
      <c r="B3320" s="1" t="str">
        <f>"11010211"</f>
        <v>11010211</v>
      </c>
      <c r="C3320" t="s">
        <v>3303</v>
      </c>
      <c r="D3320" t="s">
        <v>3304</v>
      </c>
      <c r="E3320" s="2">
        <v>0.4</v>
      </c>
      <c r="F3320" t="s">
        <v>12</v>
      </c>
      <c r="G3320" t="s">
        <v>25</v>
      </c>
      <c r="H3320" t="s">
        <v>332</v>
      </c>
      <c r="I3320"/>
    </row>
    <row r="3321" spans="1:9">
      <c r="A3321" t="s">
        <v>3301</v>
      </c>
      <c r="B3321" s="1" t="str">
        <f>"11010145"</f>
        <v>11010145</v>
      </c>
      <c r="C3321" t="s">
        <v>3303</v>
      </c>
      <c r="D3321" t="s">
        <v>3305</v>
      </c>
      <c r="E3321" s="2">
        <v>0.4</v>
      </c>
      <c r="F3321" t="s">
        <v>12</v>
      </c>
      <c r="G3321" t="s">
        <v>25</v>
      </c>
      <c r="H3321" t="s">
        <v>332</v>
      </c>
      <c r="I3321"/>
    </row>
    <row r="3322" spans="1:9">
      <c r="A3322" t="s">
        <v>3301</v>
      </c>
      <c r="B3322" s="1" t="str">
        <f>"11011139"</f>
        <v>11011139</v>
      </c>
      <c r="C3322" t="s">
        <v>3303</v>
      </c>
      <c r="D3322" t="s">
        <v>3306</v>
      </c>
      <c r="E3322" s="2">
        <v>0.4</v>
      </c>
      <c r="F3322" t="s">
        <v>12</v>
      </c>
      <c r="G3322" t="s">
        <v>25</v>
      </c>
      <c r="H3322" t="s">
        <v>332</v>
      </c>
      <c r="I3322"/>
    </row>
    <row r="3323" spans="1:9">
      <c r="A3323" t="s">
        <v>3301</v>
      </c>
      <c r="B3323" s="1" t="str">
        <f>"11010167"</f>
        <v>11010167</v>
      </c>
      <c r="C3323" t="s">
        <v>3303</v>
      </c>
      <c r="D3323" t="s">
        <v>3307</v>
      </c>
      <c r="E3323" s="2">
        <v>0.4</v>
      </c>
      <c r="F3323" t="s">
        <v>12</v>
      </c>
      <c r="G3323" t="s">
        <v>25</v>
      </c>
      <c r="H3323" t="s">
        <v>332</v>
      </c>
      <c r="I3323"/>
    </row>
    <row r="3324" spans="1:9">
      <c r="A3324" t="s">
        <v>3301</v>
      </c>
      <c r="B3324" s="1" t="str">
        <f>"11011140"</f>
        <v>11011140</v>
      </c>
      <c r="C3324" t="s">
        <v>3303</v>
      </c>
      <c r="D3324" t="s">
        <v>3308</v>
      </c>
      <c r="E3324" s="2">
        <v>0.4</v>
      </c>
      <c r="F3324" t="s">
        <v>12</v>
      </c>
      <c r="G3324" t="s">
        <v>25</v>
      </c>
      <c r="H3324" t="s">
        <v>332</v>
      </c>
      <c r="I3324"/>
    </row>
    <row r="3325" spans="1:9">
      <c r="A3325" t="s">
        <v>3301</v>
      </c>
      <c r="B3325" s="1" t="str">
        <f>"11620013"</f>
        <v>11620013</v>
      </c>
      <c r="C3325" t="s">
        <v>3303</v>
      </c>
      <c r="D3325" t="s">
        <v>3309</v>
      </c>
      <c r="E3325" s="2">
        <v>0.4</v>
      </c>
      <c r="F3325" t="s">
        <v>2737</v>
      </c>
      <c r="G3325" t="s">
        <v>25</v>
      </c>
      <c r="H3325" t="s">
        <v>332</v>
      </c>
      <c r="I3325"/>
    </row>
    <row r="3326" spans="1:9">
      <c r="A3326" t="s">
        <v>3301</v>
      </c>
      <c r="B3326" s="1" t="str">
        <f>"11301748"</f>
        <v>11301748</v>
      </c>
      <c r="C3326" t="s">
        <v>3303</v>
      </c>
      <c r="D3326" t="s">
        <v>3310</v>
      </c>
      <c r="E3326" s="2">
        <v>0.4</v>
      </c>
      <c r="F3326" t="s">
        <v>12</v>
      </c>
      <c r="G3326" t="s">
        <v>25</v>
      </c>
      <c r="H3326" t="s">
        <v>332</v>
      </c>
      <c r="I3326"/>
    </row>
    <row r="3327" spans="1:9">
      <c r="A3327" t="s">
        <v>3301</v>
      </c>
      <c r="B3327" s="1" t="str">
        <f>"11011146"</f>
        <v>11011146</v>
      </c>
      <c r="C3327" t="s">
        <v>3303</v>
      </c>
      <c r="D3327" t="s">
        <v>3311</v>
      </c>
      <c r="E3327" s="2">
        <v>0.4</v>
      </c>
      <c r="F3327" t="s">
        <v>2737</v>
      </c>
      <c r="G3327" t="s">
        <v>25</v>
      </c>
      <c r="H3327" t="s">
        <v>332</v>
      </c>
      <c r="I3327"/>
    </row>
    <row r="3328" spans="1:9">
      <c r="A3328" t="s">
        <v>3301</v>
      </c>
      <c r="B3328" s="1" t="str">
        <f>"11011134"</f>
        <v>11011134</v>
      </c>
      <c r="C3328" t="s">
        <v>3303</v>
      </c>
      <c r="D3328" t="s">
        <v>3312</v>
      </c>
      <c r="E3328" s="2">
        <v>0.4</v>
      </c>
      <c r="F3328" t="s">
        <v>12</v>
      </c>
      <c r="G3328" t="s">
        <v>29</v>
      </c>
      <c r="H3328" t="s">
        <v>332</v>
      </c>
      <c r="I3328"/>
    </row>
    <row r="3329" spans="1:9">
      <c r="A3329" t="s">
        <v>3301</v>
      </c>
      <c r="B3329" s="1" t="str">
        <f>"11011147"</f>
        <v>11011147</v>
      </c>
      <c r="C3329" t="s">
        <v>3303</v>
      </c>
      <c r="D3329" t="s">
        <v>3313</v>
      </c>
      <c r="E3329" s="2">
        <v>0.4</v>
      </c>
      <c r="F3329" t="s">
        <v>2737</v>
      </c>
      <c r="G3329" t="s">
        <v>25</v>
      </c>
      <c r="H3329" t="s">
        <v>332</v>
      </c>
      <c r="I3329"/>
    </row>
    <row r="3330" spans="1:9">
      <c r="A3330" t="s">
        <v>3301</v>
      </c>
      <c r="B3330" s="1" t="str">
        <f>"11011180"</f>
        <v>11011180</v>
      </c>
      <c r="C3330" t="s">
        <v>3303</v>
      </c>
      <c r="D3330" t="s">
        <v>3314</v>
      </c>
      <c r="E3330" s="2">
        <v>0.4</v>
      </c>
      <c r="F3330" t="s">
        <v>2737</v>
      </c>
      <c r="G3330" t="s">
        <v>25</v>
      </c>
      <c r="H3330" t="s">
        <v>332</v>
      </c>
      <c r="I3330"/>
    </row>
    <row r="3331" spans="1:9">
      <c r="A3331" t="s">
        <v>3301</v>
      </c>
      <c r="B3331" s="1" t="str">
        <f>"11011181"</f>
        <v>11011181</v>
      </c>
      <c r="C3331" t="s">
        <v>3303</v>
      </c>
      <c r="D3331" t="s">
        <v>3315</v>
      </c>
      <c r="E3331" s="2">
        <v>0.4</v>
      </c>
      <c r="F3331" t="s">
        <v>12</v>
      </c>
      <c r="G3331" t="s">
        <v>2780</v>
      </c>
      <c r="H3331" t="s">
        <v>332</v>
      </c>
      <c r="I3331"/>
    </row>
    <row r="3332" spans="1:9">
      <c r="A3332" t="s">
        <v>3301</v>
      </c>
      <c r="B3332" s="1" t="str">
        <f>"11011153"</f>
        <v>11011153</v>
      </c>
      <c r="C3332" t="s">
        <v>3303</v>
      </c>
      <c r="D3332" t="s">
        <v>3316</v>
      </c>
      <c r="E3332" s="2">
        <v>0.4</v>
      </c>
      <c r="F3332" t="s">
        <v>12</v>
      </c>
      <c r="G3332" t="s">
        <v>29</v>
      </c>
      <c r="H3332" t="s">
        <v>332</v>
      </c>
      <c r="I3332"/>
    </row>
    <row r="3333" spans="1:9">
      <c r="A3333" t="s">
        <v>3301</v>
      </c>
      <c r="B3333" s="1" t="str">
        <f>"11011155"</f>
        <v>11011155</v>
      </c>
      <c r="C3333" t="s">
        <v>3303</v>
      </c>
      <c r="D3333" t="s">
        <v>3317</v>
      </c>
      <c r="E3333" s="2">
        <v>0.4</v>
      </c>
      <c r="F3333" t="s">
        <v>2737</v>
      </c>
      <c r="G3333" t="s">
        <v>29</v>
      </c>
      <c r="H3333" t="s">
        <v>332</v>
      </c>
      <c r="I3333"/>
    </row>
    <row r="3334" spans="1:9">
      <c r="A3334" t="s">
        <v>3301</v>
      </c>
      <c r="B3334" s="1" t="str">
        <f>"11011164"</f>
        <v>11011164</v>
      </c>
      <c r="C3334" t="s">
        <v>3303</v>
      </c>
      <c r="D3334" t="s">
        <v>3318</v>
      </c>
      <c r="E3334" s="2">
        <v>0.4</v>
      </c>
      <c r="F3334" t="s">
        <v>12</v>
      </c>
      <c r="G3334" t="s">
        <v>29</v>
      </c>
      <c r="H3334" t="s">
        <v>332</v>
      </c>
      <c r="I3334"/>
    </row>
    <row r="3335" spans="1:9">
      <c r="A3335" t="s">
        <v>3301</v>
      </c>
      <c r="B3335" s="1" t="str">
        <f>"11010171"</f>
        <v>11010171</v>
      </c>
      <c r="C3335" t="s">
        <v>3303</v>
      </c>
      <c r="D3335" t="s">
        <v>3319</v>
      </c>
      <c r="E3335" s="2">
        <v>0.4</v>
      </c>
      <c r="F3335" t="s">
        <v>12</v>
      </c>
      <c r="G3335" t="s">
        <v>25</v>
      </c>
      <c r="H3335" t="s">
        <v>332</v>
      </c>
      <c r="I3335"/>
    </row>
    <row r="3336" spans="1:9">
      <c r="A3336" t="s">
        <v>3320</v>
      </c>
      <c r="B3336" s="1" t="str">
        <f>"11051682"</f>
        <v>11051682</v>
      </c>
      <c r="C3336" t="s">
        <v>260</v>
      </c>
      <c r="D3336" t="s">
        <v>3321</v>
      </c>
      <c r="E3336" s="2">
        <v>0.39</v>
      </c>
      <c r="F3336"/>
      <c r="G3336" t="s">
        <v>218</v>
      </c>
      <c r="H3336" t="s">
        <v>218</v>
      </c>
      <c r="I3336"/>
    </row>
    <row r="3337" spans="1:9">
      <c r="A3337" t="s">
        <v>3320</v>
      </c>
      <c r="B3337" s="1" t="str">
        <f>"11051679"</f>
        <v>11051679</v>
      </c>
      <c r="C3337" t="s">
        <v>260</v>
      </c>
      <c r="D3337" t="s">
        <v>3322</v>
      </c>
      <c r="E3337" s="2">
        <v>0.35</v>
      </c>
      <c r="F3337"/>
      <c r="G3337" t="s">
        <v>13</v>
      </c>
      <c r="H3337" t="s">
        <v>218</v>
      </c>
      <c r="I3337"/>
    </row>
    <row r="3338" spans="1:9">
      <c r="A3338" t="s">
        <v>3320</v>
      </c>
      <c r="B3338" s="1" t="str">
        <f>"11010323"</f>
        <v>11010323</v>
      </c>
      <c r="C3338" t="s">
        <v>3323</v>
      </c>
      <c r="D3338" t="s">
        <v>3324</v>
      </c>
      <c r="E3338" s="2">
        <v>0.45</v>
      </c>
      <c r="F3338" t="s">
        <v>12</v>
      </c>
      <c r="G3338" t="s">
        <v>29</v>
      </c>
      <c r="H3338" t="s">
        <v>332</v>
      </c>
      <c r="I3338"/>
    </row>
    <row r="3339" spans="1:9">
      <c r="A3339" t="s">
        <v>3320</v>
      </c>
      <c r="B3339" s="1" t="str">
        <f>"11010424"</f>
        <v>11010424</v>
      </c>
      <c r="C3339" t="s">
        <v>3323</v>
      </c>
      <c r="D3339" t="s">
        <v>3325</v>
      </c>
      <c r="E3339" s="2">
        <v>0.45</v>
      </c>
      <c r="F3339" t="s">
        <v>24</v>
      </c>
      <c r="G3339" t="s">
        <v>29</v>
      </c>
      <c r="H3339" t="s">
        <v>332</v>
      </c>
      <c r="I3339"/>
    </row>
    <row r="3340" spans="1:9">
      <c r="A3340" t="s">
        <v>3320</v>
      </c>
      <c r="B3340" s="1" t="str">
        <f>"11010425"</f>
        <v>11010425</v>
      </c>
      <c r="C3340" t="s">
        <v>3323</v>
      </c>
      <c r="D3340" t="s">
        <v>3326</v>
      </c>
      <c r="E3340" s="2">
        <v>0.3</v>
      </c>
      <c r="F3340" t="s">
        <v>24</v>
      </c>
      <c r="G3340" t="s">
        <v>29</v>
      </c>
      <c r="H3340" t="s">
        <v>332</v>
      </c>
      <c r="I3340"/>
    </row>
    <row r="3341" spans="1:9">
      <c r="A3341" t="s">
        <v>3320</v>
      </c>
      <c r="B3341" s="1" t="str">
        <f>"11010427"</f>
        <v>11010427</v>
      </c>
      <c r="C3341" t="s">
        <v>3323</v>
      </c>
      <c r="D3341" t="s">
        <v>3327</v>
      </c>
      <c r="E3341" s="2">
        <v>0.44</v>
      </c>
      <c r="F3341"/>
      <c r="G3341" t="s">
        <v>122</v>
      </c>
      <c r="H3341" t="s">
        <v>383</v>
      </c>
      <c r="I3341"/>
    </row>
    <row r="3342" spans="1:9">
      <c r="A3342" t="s">
        <v>3320</v>
      </c>
      <c r="B3342" s="1" t="str">
        <f>"11010330"</f>
        <v>11010330</v>
      </c>
      <c r="C3342" t="s">
        <v>3328</v>
      </c>
      <c r="D3342" t="s">
        <v>3329</v>
      </c>
      <c r="E3342" s="2">
        <v>0.35</v>
      </c>
      <c r="F3342" t="s">
        <v>12</v>
      </c>
      <c r="G3342" t="s">
        <v>25</v>
      </c>
      <c r="H3342" t="s">
        <v>332</v>
      </c>
      <c r="I3342"/>
    </row>
    <row r="3343" spans="1:9">
      <c r="A3343" t="s">
        <v>3320</v>
      </c>
      <c r="B3343" s="1" t="str">
        <f>"11010335"</f>
        <v>11010335</v>
      </c>
      <c r="C3343" t="s">
        <v>3328</v>
      </c>
      <c r="D3343" t="s">
        <v>3329</v>
      </c>
      <c r="E3343" s="2">
        <v>0.35</v>
      </c>
      <c r="F3343" t="s">
        <v>3330</v>
      </c>
      <c r="G3343" t="s">
        <v>3331</v>
      </c>
      <c r="H3343" t="s">
        <v>3331</v>
      </c>
      <c r="I3343"/>
    </row>
    <row r="3344" spans="1:9">
      <c r="A3344" t="s">
        <v>3320</v>
      </c>
      <c r="B3344" s="1" t="str">
        <f>"11010337"</f>
        <v>11010337</v>
      </c>
      <c r="C3344" t="s">
        <v>3328</v>
      </c>
      <c r="D3344" t="s">
        <v>3329</v>
      </c>
      <c r="E3344" s="2">
        <v>0.35</v>
      </c>
      <c r="F3344" t="s">
        <v>3182</v>
      </c>
      <c r="G3344" t="s">
        <v>3331</v>
      </c>
      <c r="H3344" t="s">
        <v>3331</v>
      </c>
      <c r="I3344"/>
    </row>
    <row r="3345" spans="1:9">
      <c r="A3345" t="s">
        <v>3320</v>
      </c>
      <c r="B3345" s="1" t="str">
        <f>"11010417"</f>
        <v>11010417</v>
      </c>
      <c r="C3345" t="s">
        <v>3328</v>
      </c>
      <c r="D3345" t="s">
        <v>3332</v>
      </c>
      <c r="E3345" s="2">
        <v>0.44</v>
      </c>
      <c r="F3345"/>
      <c r="G3345" t="s">
        <v>287</v>
      </c>
      <c r="H3345" t="s">
        <v>218</v>
      </c>
      <c r="I3345"/>
    </row>
    <row r="3346" spans="1:9">
      <c r="A3346" t="s">
        <v>3320</v>
      </c>
      <c r="B3346" s="1" t="str">
        <f>"11010423"</f>
        <v>11010423</v>
      </c>
      <c r="C3346" t="s">
        <v>3328</v>
      </c>
      <c r="D3346" t="s">
        <v>3333</v>
      </c>
      <c r="E3346" s="2">
        <v>0.44</v>
      </c>
      <c r="F3346"/>
      <c r="G3346" t="s">
        <v>227</v>
      </c>
      <c r="H3346" t="s">
        <v>218</v>
      </c>
      <c r="I3346"/>
    </row>
    <row r="3347" spans="1:9">
      <c r="A3347" t="s">
        <v>3320</v>
      </c>
      <c r="B3347" s="1" t="str">
        <f>"11010333"</f>
        <v>11010333</v>
      </c>
      <c r="C3347" t="s">
        <v>3328</v>
      </c>
      <c r="D3347" t="s">
        <v>3334</v>
      </c>
      <c r="E3347" s="2">
        <v>0.3</v>
      </c>
      <c r="F3347" t="s">
        <v>12</v>
      </c>
      <c r="G3347" t="s">
        <v>25</v>
      </c>
      <c r="H3347" t="s">
        <v>332</v>
      </c>
      <c r="I3347"/>
    </row>
    <row r="3348" spans="1:9">
      <c r="A3348" t="s">
        <v>3320</v>
      </c>
      <c r="B3348" s="1" t="str">
        <f>"11010415"</f>
        <v>11010415</v>
      </c>
      <c r="C3348" t="s">
        <v>3328</v>
      </c>
      <c r="D3348" t="s">
        <v>3335</v>
      </c>
      <c r="E3348" s="2">
        <v>0.4</v>
      </c>
      <c r="F3348" t="s">
        <v>12</v>
      </c>
      <c r="G3348" t="s">
        <v>25</v>
      </c>
      <c r="H3348" t="s">
        <v>332</v>
      </c>
      <c r="I3348"/>
    </row>
    <row r="3349" spans="1:9">
      <c r="A3349" t="s">
        <v>3320</v>
      </c>
      <c r="B3349" s="1" t="str">
        <f>"11010426"</f>
        <v>11010426</v>
      </c>
      <c r="C3349" t="s">
        <v>3170</v>
      </c>
      <c r="D3349" t="s">
        <v>3336</v>
      </c>
      <c r="E3349" s="2">
        <v>0.447</v>
      </c>
      <c r="F3349" t="s">
        <v>2799</v>
      </c>
      <c r="G3349" t="s">
        <v>29</v>
      </c>
      <c r="H3349" t="s">
        <v>332</v>
      </c>
      <c r="I3349"/>
    </row>
    <row r="3350" spans="1:9">
      <c r="A3350" t="s">
        <v>3320</v>
      </c>
      <c r="B3350" s="1" t="str">
        <f>"11012228"</f>
        <v>11012228</v>
      </c>
      <c r="C3350" t="s">
        <v>3170</v>
      </c>
      <c r="D3350" t="s">
        <v>3337</v>
      </c>
      <c r="E3350" s="2">
        <v>0.29</v>
      </c>
      <c r="F3350" t="s">
        <v>12</v>
      </c>
      <c r="G3350" t="s">
        <v>25</v>
      </c>
      <c r="H3350" t="s">
        <v>332</v>
      </c>
      <c r="I3350"/>
    </row>
    <row r="3351" spans="1:9">
      <c r="A3351" t="s">
        <v>3320</v>
      </c>
      <c r="B3351" s="1" t="str">
        <f>"11010420"</f>
        <v>11010420</v>
      </c>
      <c r="C3351" t="s">
        <v>3170</v>
      </c>
      <c r="D3351" t="s">
        <v>3338</v>
      </c>
      <c r="E3351" s="2">
        <v>0.38</v>
      </c>
      <c r="F3351" t="s">
        <v>12</v>
      </c>
      <c r="G3351" t="s">
        <v>3339</v>
      </c>
      <c r="H3351" t="s">
        <v>332</v>
      </c>
      <c r="I3351"/>
    </row>
    <row r="3352" spans="1:9">
      <c r="A3352" t="s">
        <v>3320</v>
      </c>
      <c r="B3352" s="1" t="str">
        <f>"11010421"</f>
        <v>11010421</v>
      </c>
      <c r="C3352" t="s">
        <v>3170</v>
      </c>
      <c r="D3352" t="s">
        <v>3338</v>
      </c>
      <c r="E3352" s="2">
        <v>0.38</v>
      </c>
      <c r="F3352" t="s">
        <v>24</v>
      </c>
      <c r="G3352" t="s">
        <v>29</v>
      </c>
      <c r="H3352" t="s">
        <v>332</v>
      </c>
      <c r="I3352"/>
    </row>
    <row r="3353" spans="1:9">
      <c r="A3353" t="s">
        <v>3320</v>
      </c>
      <c r="B3353" s="1" t="str">
        <f>"11010418"</f>
        <v>11010418</v>
      </c>
      <c r="C3353" t="s">
        <v>3170</v>
      </c>
      <c r="D3353" t="s">
        <v>3340</v>
      </c>
      <c r="E3353" s="2">
        <v>0.39</v>
      </c>
      <c r="F3353" t="s">
        <v>24</v>
      </c>
      <c r="G3353" t="s">
        <v>29</v>
      </c>
      <c r="H3353" t="s">
        <v>332</v>
      </c>
      <c r="I3353"/>
    </row>
    <row r="3354" spans="1:9">
      <c r="A3354" t="s">
        <v>3320</v>
      </c>
      <c r="B3354" s="1" t="str">
        <f>"11010428"</f>
        <v>11010428</v>
      </c>
      <c r="C3354" t="s">
        <v>3170</v>
      </c>
      <c r="D3354" t="s">
        <v>3340</v>
      </c>
      <c r="E3354" s="2">
        <v>0.39</v>
      </c>
      <c r="F3354" t="s">
        <v>12</v>
      </c>
      <c r="G3354" t="s">
        <v>25</v>
      </c>
      <c r="H3354" t="s">
        <v>332</v>
      </c>
      <c r="I3354"/>
    </row>
    <row r="3355" spans="1:9">
      <c r="A3355" t="s">
        <v>3320</v>
      </c>
      <c r="B3355" s="1" t="str">
        <f>"11010422"</f>
        <v>11010422</v>
      </c>
      <c r="C3355" t="s">
        <v>3170</v>
      </c>
      <c r="D3355" t="s">
        <v>3341</v>
      </c>
      <c r="E3355" s="2">
        <v>0.38</v>
      </c>
      <c r="F3355" t="s">
        <v>12</v>
      </c>
      <c r="G3355" t="s">
        <v>25</v>
      </c>
      <c r="H3355" t="s">
        <v>332</v>
      </c>
      <c r="I3355"/>
    </row>
    <row r="3356" spans="1:9">
      <c r="A3356" t="s">
        <v>3320</v>
      </c>
      <c r="B3356" s="1" t="str">
        <f>"11098895"</f>
        <v>11098895</v>
      </c>
      <c r="C3356" t="s">
        <v>3170</v>
      </c>
      <c r="D3356" t="s">
        <v>3342</v>
      </c>
      <c r="E3356" s="2">
        <v>0.35</v>
      </c>
      <c r="F3356" t="s">
        <v>12</v>
      </c>
      <c r="G3356" t="s">
        <v>25</v>
      </c>
      <c r="H3356" t="s">
        <v>332</v>
      </c>
      <c r="I3356"/>
    </row>
    <row r="3357" spans="1:9">
      <c r="A3357" t="s">
        <v>3320</v>
      </c>
      <c r="B3357" s="1" t="str">
        <f>"11012011"</f>
        <v>11012011</v>
      </c>
      <c r="C3357" t="s">
        <v>3170</v>
      </c>
      <c r="D3357" t="s">
        <v>3343</v>
      </c>
      <c r="E3357" s="2">
        <v>0.3</v>
      </c>
      <c r="F3357" t="s">
        <v>12</v>
      </c>
      <c r="G3357" t="s">
        <v>25</v>
      </c>
      <c r="H3357" t="s">
        <v>332</v>
      </c>
      <c r="I3357"/>
    </row>
    <row r="3358" spans="1:9">
      <c r="A3358" t="s">
        <v>3320</v>
      </c>
      <c r="B3358" s="1" t="str">
        <f>"11012031"</f>
        <v>11012031</v>
      </c>
      <c r="C3358" t="s">
        <v>3170</v>
      </c>
      <c r="D3358" t="s">
        <v>3344</v>
      </c>
      <c r="E3358" s="2">
        <v>0.15</v>
      </c>
      <c r="F3358" t="s">
        <v>12</v>
      </c>
      <c r="G3358" t="s">
        <v>25</v>
      </c>
      <c r="H3358" t="s">
        <v>332</v>
      </c>
      <c r="I3358"/>
    </row>
    <row r="3359" spans="1:9">
      <c r="A3359" t="s">
        <v>3320</v>
      </c>
      <c r="B3359" s="1" t="str">
        <f>"11010164"</f>
        <v>11010164</v>
      </c>
      <c r="C3359" t="s">
        <v>3170</v>
      </c>
      <c r="D3359" t="s">
        <v>3345</v>
      </c>
      <c r="E3359" s="2">
        <v>0.35</v>
      </c>
      <c r="F3359" t="s">
        <v>12</v>
      </c>
      <c r="G3359" t="s">
        <v>25</v>
      </c>
      <c r="H3359" t="s">
        <v>332</v>
      </c>
      <c r="I3359"/>
    </row>
    <row r="3360" spans="1:9">
      <c r="A3360" t="s">
        <v>3346</v>
      </c>
      <c r="B3360" s="1" t="str">
        <f>"12111315"</f>
        <v>12111315</v>
      </c>
      <c r="C3360" t="s">
        <v>260</v>
      </c>
      <c r="D3360" t="s">
        <v>3347</v>
      </c>
      <c r="E3360" s="2">
        <v>0.145</v>
      </c>
      <c r="F3360" t="s">
        <v>239</v>
      </c>
      <c r="G3360" t="s">
        <v>25</v>
      </c>
      <c r="H3360" t="s">
        <v>25</v>
      </c>
      <c r="I3360"/>
    </row>
    <row r="3361" spans="1:9">
      <c r="A3361" t="s">
        <v>3346</v>
      </c>
      <c r="B3361" s="1" t="str">
        <f>"11012022"</f>
        <v>11012022</v>
      </c>
      <c r="C3361" t="s">
        <v>3323</v>
      </c>
      <c r="D3361" t="s">
        <v>3348</v>
      </c>
      <c r="E3361" s="2">
        <v>0.17</v>
      </c>
      <c r="F3361" t="s">
        <v>239</v>
      </c>
      <c r="G3361" t="s">
        <v>25</v>
      </c>
      <c r="H3361" t="s">
        <v>332</v>
      </c>
      <c r="I3361"/>
    </row>
    <row r="3362" spans="1:9">
      <c r="A3362" t="s">
        <v>3346</v>
      </c>
      <c r="B3362" s="1" t="str">
        <f>"11012021"</f>
        <v>11012021</v>
      </c>
      <c r="C3362" t="s">
        <v>3323</v>
      </c>
      <c r="D3362" t="s">
        <v>3349</v>
      </c>
      <c r="E3362" s="2">
        <v>0.17</v>
      </c>
      <c r="F3362" t="s">
        <v>239</v>
      </c>
      <c r="G3362" t="s">
        <v>25</v>
      </c>
      <c r="H3362" t="s">
        <v>332</v>
      </c>
      <c r="I3362"/>
    </row>
    <row r="3363" spans="1:9">
      <c r="A3363" t="s">
        <v>3346</v>
      </c>
      <c r="B3363" s="1" t="str">
        <f>"11012027"</f>
        <v>11012027</v>
      </c>
      <c r="C3363" t="s">
        <v>3323</v>
      </c>
      <c r="D3363" t="s">
        <v>3350</v>
      </c>
      <c r="E3363" s="2">
        <v>0.17</v>
      </c>
      <c r="F3363" t="s">
        <v>239</v>
      </c>
      <c r="G3363" t="s">
        <v>25</v>
      </c>
      <c r="H3363" t="s">
        <v>332</v>
      </c>
      <c r="I3363"/>
    </row>
    <row r="3364" spans="1:9">
      <c r="A3364" t="s">
        <v>3346</v>
      </c>
      <c r="B3364" s="1" t="str">
        <f>"12012313"</f>
        <v>12012313</v>
      </c>
      <c r="C3364" t="s">
        <v>3323</v>
      </c>
      <c r="D3364" t="s">
        <v>3351</v>
      </c>
      <c r="E3364" s="2"/>
      <c r="F3364" t="s">
        <v>239</v>
      </c>
      <c r="G3364" t="s">
        <v>360</v>
      </c>
      <c r="H3364" t="s">
        <v>240</v>
      </c>
      <c r="I3364"/>
    </row>
    <row r="3365" spans="1:9">
      <c r="A3365" t="s">
        <v>3346</v>
      </c>
      <c r="B3365" s="1" t="str">
        <f>"12012314"</f>
        <v>12012314</v>
      </c>
      <c r="C3365" t="s">
        <v>3323</v>
      </c>
      <c r="D3365" t="s">
        <v>3352</v>
      </c>
      <c r="E3365" s="2"/>
      <c r="F3365" t="s">
        <v>239</v>
      </c>
      <c r="G3365" t="s">
        <v>360</v>
      </c>
      <c r="H3365" t="s">
        <v>240</v>
      </c>
      <c r="I3365"/>
    </row>
    <row r="3366" spans="1:9">
      <c r="A3366" t="s">
        <v>3346</v>
      </c>
      <c r="B3366" s="1" t="str">
        <f>"11012034"</f>
        <v>11012034</v>
      </c>
      <c r="C3366" t="s">
        <v>3323</v>
      </c>
      <c r="D3366" t="s">
        <v>3353</v>
      </c>
      <c r="E3366" s="2">
        <v>0.14</v>
      </c>
      <c r="F3366" t="s">
        <v>2737</v>
      </c>
      <c r="G3366"/>
      <c r="H3366" t="s">
        <v>240</v>
      </c>
      <c r="I3366"/>
    </row>
    <row r="3367" spans="1:9">
      <c r="A3367" t="s">
        <v>3346</v>
      </c>
      <c r="B3367" s="1" t="str">
        <f>"26820001"</f>
        <v>26820001</v>
      </c>
      <c r="C3367" t="s">
        <v>3354</v>
      </c>
      <c r="D3367" t="s">
        <v>3355</v>
      </c>
      <c r="E3367" s="2"/>
      <c r="F3367" t="s">
        <v>239</v>
      </c>
      <c r="G3367" t="s">
        <v>25</v>
      </c>
      <c r="H3367" t="s">
        <v>25</v>
      </c>
      <c r="I3367"/>
    </row>
    <row r="3368" spans="1:9">
      <c r="A3368" t="s">
        <v>3346</v>
      </c>
      <c r="B3368" s="1" t="str">
        <f>"11012013"</f>
        <v>11012013</v>
      </c>
      <c r="C3368" t="s">
        <v>3170</v>
      </c>
      <c r="D3368" t="s">
        <v>3356</v>
      </c>
      <c r="E3368" s="2">
        <v>0.11</v>
      </c>
      <c r="F3368" t="s">
        <v>12</v>
      </c>
      <c r="G3368" t="s">
        <v>25</v>
      </c>
      <c r="H3368" t="s">
        <v>332</v>
      </c>
      <c r="I3368"/>
    </row>
    <row r="3369" spans="1:9">
      <c r="A3369" t="s">
        <v>3346</v>
      </c>
      <c r="B3369" s="1" t="str">
        <f>"11010301"</f>
        <v>11010301</v>
      </c>
      <c r="C3369" t="s">
        <v>3170</v>
      </c>
      <c r="D3369" t="s">
        <v>3357</v>
      </c>
      <c r="E3369" s="2">
        <v>0.285</v>
      </c>
      <c r="F3369" t="s">
        <v>12</v>
      </c>
      <c r="G3369" t="s">
        <v>29</v>
      </c>
      <c r="H3369" t="s">
        <v>332</v>
      </c>
      <c r="I3369"/>
    </row>
    <row r="3370" spans="1:9">
      <c r="A3370" t="s">
        <v>3346</v>
      </c>
      <c r="B3370" s="1" t="str">
        <f>"11010310"</f>
        <v>11010310</v>
      </c>
      <c r="C3370" t="s">
        <v>3170</v>
      </c>
      <c r="D3370" t="s">
        <v>3357</v>
      </c>
      <c r="E3370" s="2">
        <v>0.25</v>
      </c>
      <c r="F3370" t="s">
        <v>12</v>
      </c>
      <c r="G3370" t="s">
        <v>25</v>
      </c>
      <c r="H3370" t="s">
        <v>332</v>
      </c>
      <c r="I3370"/>
    </row>
    <row r="3371" spans="1:9">
      <c r="A3371" t="s">
        <v>3346</v>
      </c>
      <c r="B3371" s="1" t="str">
        <f>"11065730"</f>
        <v>11065730</v>
      </c>
      <c r="C3371" t="s">
        <v>3170</v>
      </c>
      <c r="D3371" t="s">
        <v>3358</v>
      </c>
      <c r="E3371" s="2">
        <v>0.38</v>
      </c>
      <c r="F3371" t="s">
        <v>12</v>
      </c>
      <c r="G3371" t="s">
        <v>25</v>
      </c>
      <c r="H3371" t="s">
        <v>332</v>
      </c>
      <c r="I3371"/>
    </row>
    <row r="3372" spans="1:9">
      <c r="A3372" t="s">
        <v>3359</v>
      </c>
      <c r="B3372" s="1" t="str">
        <f>"11010302"</f>
        <v>11010302</v>
      </c>
      <c r="C3372" t="s">
        <v>3323</v>
      </c>
      <c r="D3372" t="s">
        <v>3360</v>
      </c>
      <c r="E3372" s="2">
        <v>0.4</v>
      </c>
      <c r="F3372" t="s">
        <v>12</v>
      </c>
      <c r="G3372" t="s">
        <v>29</v>
      </c>
      <c r="H3372" t="s">
        <v>332</v>
      </c>
      <c r="I3372"/>
    </row>
    <row r="3373" spans="1:9">
      <c r="A3373" t="s">
        <v>3359</v>
      </c>
      <c r="B3373" s="1" t="str">
        <f>"11010064"</f>
        <v>11010064</v>
      </c>
      <c r="C3373" t="s">
        <v>3323</v>
      </c>
      <c r="D3373" t="s">
        <v>3361</v>
      </c>
      <c r="E3373" s="2">
        <v>0.38</v>
      </c>
      <c r="F3373" t="s">
        <v>2737</v>
      </c>
      <c r="G3373" t="s">
        <v>25</v>
      </c>
      <c r="H3373" t="s">
        <v>332</v>
      </c>
      <c r="I3373"/>
    </row>
    <row r="3374" spans="1:9">
      <c r="A3374" t="s">
        <v>3359</v>
      </c>
      <c r="B3374" s="1" t="str">
        <f>"11010307"</f>
        <v>11010307</v>
      </c>
      <c r="C3374" t="s">
        <v>3323</v>
      </c>
      <c r="D3374" t="s">
        <v>3362</v>
      </c>
      <c r="E3374" s="2">
        <v>0.45</v>
      </c>
      <c r="F3374" t="s">
        <v>2737</v>
      </c>
      <c r="G3374" t="s">
        <v>25</v>
      </c>
      <c r="H3374" t="s">
        <v>332</v>
      </c>
      <c r="I3374"/>
    </row>
    <row r="3375" spans="1:9">
      <c r="A3375" t="s">
        <v>3359</v>
      </c>
      <c r="B3375" s="1" t="str">
        <f>"11010311"</f>
        <v>11010311</v>
      </c>
      <c r="C3375" t="s">
        <v>3323</v>
      </c>
      <c r="D3375" t="s">
        <v>3363</v>
      </c>
      <c r="E3375" s="2">
        <v>0.45</v>
      </c>
      <c r="F3375" t="s">
        <v>12</v>
      </c>
      <c r="G3375" t="s">
        <v>25</v>
      </c>
      <c r="H3375" t="s">
        <v>332</v>
      </c>
      <c r="I3375"/>
    </row>
    <row r="3376" spans="1:9">
      <c r="A3376" t="s">
        <v>3359</v>
      </c>
      <c r="B3376" s="1" t="str">
        <f>"11058523"</f>
        <v>11058523</v>
      </c>
      <c r="C3376" t="s">
        <v>3364</v>
      </c>
      <c r="D3376" t="s">
        <v>3365</v>
      </c>
      <c r="E3376" s="2">
        <v>0.38</v>
      </c>
      <c r="F3376" t="s">
        <v>2737</v>
      </c>
      <c r="G3376" t="s">
        <v>25</v>
      </c>
      <c r="H3376" t="s">
        <v>332</v>
      </c>
      <c r="I3376"/>
    </row>
    <row r="3377" spans="1:9">
      <c r="A3377" t="s">
        <v>3359</v>
      </c>
      <c r="B3377" s="1" t="str">
        <f>"11061488"</f>
        <v>11061488</v>
      </c>
      <c r="C3377" t="s">
        <v>3364</v>
      </c>
      <c r="D3377" t="s">
        <v>3366</v>
      </c>
      <c r="E3377" s="2">
        <v>0.4</v>
      </c>
      <c r="F3377" t="s">
        <v>12</v>
      </c>
      <c r="G3377" t="s">
        <v>25</v>
      </c>
      <c r="H3377" t="s">
        <v>332</v>
      </c>
      <c r="I3377"/>
    </row>
    <row r="3378" spans="1:9">
      <c r="A3378" t="s">
        <v>3359</v>
      </c>
      <c r="B3378" s="1" t="str">
        <f>"11721329"</f>
        <v>11721329</v>
      </c>
      <c r="C3378" t="s">
        <v>3364</v>
      </c>
      <c r="D3378" t="s">
        <v>3367</v>
      </c>
      <c r="E3378" s="2">
        <v>0.4</v>
      </c>
      <c r="F3378" t="s">
        <v>2737</v>
      </c>
      <c r="G3378" t="s">
        <v>25</v>
      </c>
      <c r="H3378" t="s">
        <v>332</v>
      </c>
      <c r="I3378"/>
    </row>
    <row r="3379" spans="1:9">
      <c r="A3379" t="s">
        <v>3359</v>
      </c>
      <c r="B3379" s="1" t="str">
        <f>"11721331"</f>
        <v>11721331</v>
      </c>
      <c r="C3379" t="s">
        <v>3364</v>
      </c>
      <c r="D3379" t="s">
        <v>3368</v>
      </c>
      <c r="E3379" s="2">
        <v>0.41</v>
      </c>
      <c r="F3379" t="s">
        <v>2737</v>
      </c>
      <c r="G3379" t="s">
        <v>25</v>
      </c>
      <c r="H3379" t="s">
        <v>332</v>
      </c>
      <c r="I3379"/>
    </row>
    <row r="3380" spans="1:9">
      <c r="A3380" t="s">
        <v>3359</v>
      </c>
      <c r="B3380" s="1" t="str">
        <f>"11721332"</f>
        <v>11721332</v>
      </c>
      <c r="C3380" t="s">
        <v>3364</v>
      </c>
      <c r="D3380" t="s">
        <v>3369</v>
      </c>
      <c r="E3380" s="2">
        <v>0.41</v>
      </c>
      <c r="F3380" t="s">
        <v>2737</v>
      </c>
      <c r="G3380" t="s">
        <v>25</v>
      </c>
      <c r="H3380" t="s">
        <v>332</v>
      </c>
      <c r="I3380"/>
    </row>
    <row r="3381" spans="1:9">
      <c r="A3381" t="s">
        <v>3359</v>
      </c>
      <c r="B3381" s="1" t="str">
        <f>"11721330"</f>
        <v>11721330</v>
      </c>
      <c r="C3381" t="s">
        <v>3364</v>
      </c>
      <c r="D3381" t="s">
        <v>3370</v>
      </c>
      <c r="E3381" s="2">
        <v>0.41</v>
      </c>
      <c r="F3381" t="s">
        <v>2737</v>
      </c>
      <c r="G3381" t="s">
        <v>25</v>
      </c>
      <c r="H3381" t="s">
        <v>332</v>
      </c>
      <c r="I3381"/>
    </row>
    <row r="3382" spans="1:9">
      <c r="A3382" t="s">
        <v>3359</v>
      </c>
      <c r="B3382" s="1" t="str">
        <f>"11010061"</f>
        <v>11010061</v>
      </c>
      <c r="C3382" t="s">
        <v>3371</v>
      </c>
      <c r="D3382" t="s">
        <v>3372</v>
      </c>
      <c r="E3382" s="2">
        <v>0.38</v>
      </c>
      <c r="F3382" t="s">
        <v>12</v>
      </c>
      <c r="G3382" t="s">
        <v>25</v>
      </c>
      <c r="H3382" t="s">
        <v>25</v>
      </c>
      <c r="I3382"/>
    </row>
    <row r="3383" spans="1:9">
      <c r="A3383" t="s">
        <v>3359</v>
      </c>
      <c r="B3383" s="1" t="str">
        <f>"11316590"</f>
        <v>11316590</v>
      </c>
      <c r="C3383" t="s">
        <v>3170</v>
      </c>
      <c r="D3383" t="s">
        <v>3373</v>
      </c>
      <c r="E3383" s="2">
        <v>0.4</v>
      </c>
      <c r="F3383" t="s">
        <v>12</v>
      </c>
      <c r="G3383" t="s">
        <v>25</v>
      </c>
      <c r="H3383" t="s">
        <v>332</v>
      </c>
      <c r="I3383"/>
    </row>
    <row r="3384" spans="1:9">
      <c r="A3384" t="s">
        <v>3359</v>
      </c>
      <c r="B3384" s="1" t="str">
        <f>"11010324"</f>
        <v>11010324</v>
      </c>
      <c r="C3384" t="s">
        <v>3170</v>
      </c>
      <c r="D3384" t="s">
        <v>3374</v>
      </c>
      <c r="E3384" s="2">
        <v>0.45</v>
      </c>
      <c r="F3384" t="s">
        <v>12</v>
      </c>
      <c r="G3384" t="s">
        <v>29</v>
      </c>
      <c r="H3384" t="s">
        <v>332</v>
      </c>
      <c r="I3384"/>
    </row>
    <row r="3385" spans="1:9">
      <c r="A3385" t="s">
        <v>3359</v>
      </c>
      <c r="B3385" s="1" t="str">
        <f>"11010325"</f>
        <v>11010325</v>
      </c>
      <c r="C3385" t="s">
        <v>3170</v>
      </c>
      <c r="D3385" t="s">
        <v>3375</v>
      </c>
      <c r="E3385" s="2">
        <v>0.4</v>
      </c>
      <c r="F3385" t="s">
        <v>12</v>
      </c>
      <c r="G3385" t="s">
        <v>29</v>
      </c>
      <c r="H3385" t="s">
        <v>332</v>
      </c>
      <c r="I3385"/>
    </row>
    <row r="3386" spans="1:9">
      <c r="A3386" t="s">
        <v>3359</v>
      </c>
      <c r="B3386" s="1" t="str">
        <f>"11010309"</f>
        <v>11010309</v>
      </c>
      <c r="C3386" t="s">
        <v>3170</v>
      </c>
      <c r="D3386" t="s">
        <v>3376</v>
      </c>
      <c r="E3386" s="2">
        <v>0.45</v>
      </c>
      <c r="F3386" t="s">
        <v>2737</v>
      </c>
      <c r="G3386" t="s">
        <v>25</v>
      </c>
      <c r="H3386" t="s">
        <v>332</v>
      </c>
      <c r="I3386"/>
    </row>
    <row r="3387" spans="1:9">
      <c r="A3387" t="s">
        <v>3359</v>
      </c>
      <c r="B3387" s="1" t="str">
        <f>"11010308"</f>
        <v>11010308</v>
      </c>
      <c r="C3387" t="s">
        <v>3170</v>
      </c>
      <c r="D3387" t="s">
        <v>3377</v>
      </c>
      <c r="E3387" s="2">
        <v>0.45</v>
      </c>
      <c r="F3387" t="s">
        <v>2737</v>
      </c>
      <c r="G3387" t="s">
        <v>25</v>
      </c>
      <c r="H3387" t="s">
        <v>332</v>
      </c>
      <c r="I3387"/>
    </row>
    <row r="3388" spans="1:9">
      <c r="A3388" t="s">
        <v>3359</v>
      </c>
      <c r="B3388" s="1" t="str">
        <f>"11316593"</f>
        <v>11316593</v>
      </c>
      <c r="C3388" t="s">
        <v>3170</v>
      </c>
      <c r="D3388" t="s">
        <v>3378</v>
      </c>
      <c r="E3388" s="2">
        <v>0.4</v>
      </c>
      <c r="F3388" t="s">
        <v>12</v>
      </c>
      <c r="G3388" t="s">
        <v>29</v>
      </c>
      <c r="H3388" t="s">
        <v>332</v>
      </c>
      <c r="I3388"/>
    </row>
    <row r="3389" spans="1:9">
      <c r="A3389" t="s">
        <v>3359</v>
      </c>
      <c r="B3389" s="1" t="str">
        <f>"11316591"</f>
        <v>11316591</v>
      </c>
      <c r="C3389" t="s">
        <v>3170</v>
      </c>
      <c r="D3389" t="s">
        <v>3379</v>
      </c>
      <c r="E3389" s="2">
        <v>0.42</v>
      </c>
      <c r="F3389" t="s">
        <v>12</v>
      </c>
      <c r="G3389" t="s">
        <v>29</v>
      </c>
      <c r="H3389" t="s">
        <v>332</v>
      </c>
      <c r="I3389"/>
    </row>
    <row r="3390" spans="1:9">
      <c r="A3390" t="s">
        <v>3359</v>
      </c>
      <c r="B3390" s="1" t="str">
        <f>"11061482"</f>
        <v>11061482</v>
      </c>
      <c r="C3390" t="s">
        <v>3380</v>
      </c>
      <c r="D3390" t="s">
        <v>3381</v>
      </c>
      <c r="E3390" s="2">
        <v>0.4</v>
      </c>
      <c r="F3390" t="s">
        <v>12</v>
      </c>
      <c r="G3390" t="s">
        <v>25</v>
      </c>
      <c r="H3390" t="s">
        <v>332</v>
      </c>
      <c r="I3390"/>
    </row>
    <row r="3391" spans="1:9">
      <c r="A3391" t="s">
        <v>3359</v>
      </c>
      <c r="B3391" s="1" t="str">
        <f>"11061485"</f>
        <v>11061485</v>
      </c>
      <c r="C3391" t="s">
        <v>3380</v>
      </c>
      <c r="D3391" t="s">
        <v>3382</v>
      </c>
      <c r="E3391" s="2">
        <v>0.4</v>
      </c>
      <c r="F3391" t="s">
        <v>12</v>
      </c>
      <c r="G3391" t="s">
        <v>25</v>
      </c>
      <c r="H3391" t="s">
        <v>332</v>
      </c>
      <c r="I3391"/>
    </row>
    <row r="3392" spans="1:9">
      <c r="A3392" t="s">
        <v>3359</v>
      </c>
      <c r="B3392" s="1" t="str">
        <f>"11012270"</f>
        <v>11012270</v>
      </c>
      <c r="C3392" t="s">
        <v>3380</v>
      </c>
      <c r="D3392" t="s">
        <v>3383</v>
      </c>
      <c r="E3392" s="2">
        <v>0.4</v>
      </c>
      <c r="F3392" t="s">
        <v>2737</v>
      </c>
      <c r="G3392" t="s">
        <v>25</v>
      </c>
      <c r="H3392" t="s">
        <v>332</v>
      </c>
      <c r="I3392"/>
    </row>
    <row r="3393" spans="1:9">
      <c r="A3393" t="s">
        <v>3359</v>
      </c>
      <c r="B3393" s="1" t="str">
        <f>"11012252"</f>
        <v>11012252</v>
      </c>
      <c r="C3393" t="s">
        <v>3380</v>
      </c>
      <c r="D3393" t="s">
        <v>3384</v>
      </c>
      <c r="E3393" s="2">
        <v>0.42</v>
      </c>
      <c r="F3393" t="s">
        <v>2737</v>
      </c>
      <c r="G3393" t="s">
        <v>25</v>
      </c>
      <c r="H3393" t="s">
        <v>332</v>
      </c>
      <c r="I3393"/>
    </row>
    <row r="3394" spans="1:9">
      <c r="A3394" t="s">
        <v>3359</v>
      </c>
      <c r="B3394" s="1" t="str">
        <f>"11012254"</f>
        <v>11012254</v>
      </c>
      <c r="C3394" t="s">
        <v>3380</v>
      </c>
      <c r="D3394" t="s">
        <v>3385</v>
      </c>
      <c r="E3394" s="2">
        <v>0.42</v>
      </c>
      <c r="F3394"/>
      <c r="G3394" t="s">
        <v>80</v>
      </c>
      <c r="H3394" t="s">
        <v>218</v>
      </c>
      <c r="I3394"/>
    </row>
    <row r="3395" spans="1:9">
      <c r="A3395" t="s">
        <v>3359</v>
      </c>
      <c r="B3395" s="1" t="str">
        <f>"11012253"</f>
        <v>11012253</v>
      </c>
      <c r="C3395" t="s">
        <v>3380</v>
      </c>
      <c r="D3395" t="s">
        <v>3386</v>
      </c>
      <c r="E3395" s="2">
        <v>0.4</v>
      </c>
      <c r="F3395" t="s">
        <v>2737</v>
      </c>
      <c r="G3395" t="s">
        <v>25</v>
      </c>
      <c r="H3395" t="s">
        <v>332</v>
      </c>
      <c r="I3395"/>
    </row>
    <row r="3396" spans="1:9">
      <c r="A3396" t="s">
        <v>3359</v>
      </c>
      <c r="B3396" s="1" t="str">
        <f>"20060899"</f>
        <v>20060899</v>
      </c>
      <c r="C3396" t="s">
        <v>3387</v>
      </c>
      <c r="D3396" t="s">
        <v>3388</v>
      </c>
      <c r="E3396" s="2">
        <v>0.4</v>
      </c>
      <c r="F3396" t="s">
        <v>2737</v>
      </c>
      <c r="G3396" t="s">
        <v>25</v>
      </c>
      <c r="H3396" t="s">
        <v>25</v>
      </c>
      <c r="I3396"/>
    </row>
    <row r="3397" spans="1:9">
      <c r="A3397" t="s">
        <v>3359</v>
      </c>
      <c r="B3397" s="1" t="str">
        <f>"20060898"</f>
        <v>20060898</v>
      </c>
      <c r="C3397" t="s">
        <v>3387</v>
      </c>
      <c r="D3397" t="s">
        <v>3389</v>
      </c>
      <c r="E3397" s="2">
        <v>0.38</v>
      </c>
      <c r="F3397" t="s">
        <v>2737</v>
      </c>
      <c r="G3397" t="s">
        <v>25</v>
      </c>
      <c r="H3397" t="s">
        <v>25</v>
      </c>
      <c r="I3397"/>
    </row>
    <row r="3398" spans="1:9">
      <c r="A3398" t="s">
        <v>3390</v>
      </c>
      <c r="B3398" s="1" t="str">
        <f>"20555320"</f>
        <v>20555320</v>
      </c>
      <c r="C3398" t="s">
        <v>989</v>
      </c>
      <c r="D3398" t="s">
        <v>3391</v>
      </c>
      <c r="E3398" s="2"/>
      <c r="F3398"/>
      <c r="G3398" t="s">
        <v>82</v>
      </c>
      <c r="H3398" t="s">
        <v>82</v>
      </c>
      <c r="I3398"/>
    </row>
    <row r="3399" spans="1:9">
      <c r="A3399" t="s">
        <v>3390</v>
      </c>
      <c r="B3399" s="1" t="str">
        <f>"20659394"</f>
        <v>20659394</v>
      </c>
      <c r="C3399" t="s">
        <v>225</v>
      </c>
      <c r="D3399" t="s">
        <v>3392</v>
      </c>
      <c r="E3399" s="2"/>
      <c r="F3399"/>
      <c r="G3399" t="s">
        <v>80</v>
      </c>
      <c r="H3399" t="s">
        <v>80</v>
      </c>
      <c r="I3399"/>
    </row>
    <row r="3400" spans="1:9">
      <c r="A3400" t="s">
        <v>3390</v>
      </c>
      <c r="B3400" s="1" t="str">
        <f>"20659479"</f>
        <v>20659479</v>
      </c>
      <c r="C3400" t="s">
        <v>225</v>
      </c>
      <c r="D3400" t="s">
        <v>3393</v>
      </c>
      <c r="E3400" s="2"/>
      <c r="F3400"/>
      <c r="G3400" t="s">
        <v>232</v>
      </c>
      <c r="H3400" t="s">
        <v>232</v>
      </c>
      <c r="I3400"/>
    </row>
    <row r="3401" spans="1:9">
      <c r="A3401" t="s">
        <v>3390</v>
      </c>
      <c r="B3401" s="1" t="str">
        <f>"20659455"</f>
        <v>20659455</v>
      </c>
      <c r="C3401" t="s">
        <v>225</v>
      </c>
      <c r="D3401" t="s">
        <v>3394</v>
      </c>
      <c r="E3401" s="2"/>
      <c r="F3401"/>
      <c r="G3401" t="s">
        <v>232</v>
      </c>
      <c r="H3401" t="s">
        <v>232</v>
      </c>
      <c r="I3401"/>
    </row>
    <row r="3402" spans="1:9">
      <c r="A3402" t="s">
        <v>3390</v>
      </c>
      <c r="B3402" s="1" t="str">
        <f>"20555207"</f>
        <v>20555207</v>
      </c>
      <c r="C3402" t="s">
        <v>225</v>
      </c>
      <c r="D3402" t="s">
        <v>3395</v>
      </c>
      <c r="E3402" s="2"/>
      <c r="F3402"/>
      <c r="G3402" t="s">
        <v>232</v>
      </c>
      <c r="H3402" t="s">
        <v>232</v>
      </c>
      <c r="I3402"/>
    </row>
    <row r="3403" spans="1:9">
      <c r="A3403" t="s">
        <v>3390</v>
      </c>
      <c r="B3403" s="1" t="str">
        <f>"20659448"</f>
        <v>20659448</v>
      </c>
      <c r="C3403" t="s">
        <v>225</v>
      </c>
      <c r="D3403" t="s">
        <v>3396</v>
      </c>
      <c r="E3403" s="2"/>
      <c r="F3403"/>
      <c r="G3403" t="s">
        <v>232</v>
      </c>
      <c r="H3403" t="s">
        <v>232</v>
      </c>
      <c r="I3403"/>
    </row>
    <row r="3404" spans="1:9">
      <c r="A3404" t="s">
        <v>3390</v>
      </c>
      <c r="B3404" s="1" t="str">
        <f>"20659400"</f>
        <v>20659400</v>
      </c>
      <c r="C3404" t="s">
        <v>225</v>
      </c>
      <c r="D3404" t="s">
        <v>3397</v>
      </c>
      <c r="E3404" s="2"/>
      <c r="F3404"/>
      <c r="G3404" t="s">
        <v>232</v>
      </c>
      <c r="H3404" t="s">
        <v>232</v>
      </c>
      <c r="I3404"/>
    </row>
    <row r="3405" spans="1:9">
      <c r="A3405" t="s">
        <v>3390</v>
      </c>
      <c r="B3405" s="1" t="str">
        <f>"20190069"</f>
        <v>20190069</v>
      </c>
      <c r="C3405" t="s">
        <v>3398</v>
      </c>
      <c r="D3405" t="s">
        <v>3399</v>
      </c>
      <c r="E3405" s="2"/>
      <c r="F3405"/>
      <c r="G3405" t="s">
        <v>75</v>
      </c>
      <c r="H3405" t="s">
        <v>75</v>
      </c>
      <c r="I3405"/>
    </row>
    <row r="3406" spans="1:9">
      <c r="A3406" t="s">
        <v>3390</v>
      </c>
      <c r="B3406" s="1" t="str">
        <f>"20190069.2"</f>
        <v>20190069.2</v>
      </c>
      <c r="C3406" t="s">
        <v>3398</v>
      </c>
      <c r="D3406" t="s">
        <v>3399</v>
      </c>
      <c r="E3406" s="2"/>
      <c r="F3406"/>
      <c r="G3406" t="s">
        <v>75</v>
      </c>
      <c r="H3406" t="s">
        <v>218</v>
      </c>
      <c r="I3406"/>
    </row>
    <row r="3407" spans="1:9">
      <c r="A3407" t="s">
        <v>3390</v>
      </c>
      <c r="B3407" s="1" t="str">
        <f>"20190062"</f>
        <v>20190062</v>
      </c>
      <c r="C3407" t="s">
        <v>3398</v>
      </c>
      <c r="D3407" t="s">
        <v>3400</v>
      </c>
      <c r="E3407" s="2"/>
      <c r="F3407"/>
      <c r="G3407" t="s">
        <v>75</v>
      </c>
      <c r="H3407" t="s">
        <v>75</v>
      </c>
      <c r="I3407"/>
    </row>
    <row r="3408" spans="1:9">
      <c r="A3408" t="s">
        <v>3390</v>
      </c>
      <c r="B3408" s="1" t="str">
        <f>"20190062.2"</f>
        <v>20190062.2</v>
      </c>
      <c r="C3408" t="s">
        <v>3398</v>
      </c>
      <c r="D3408" t="s">
        <v>3400</v>
      </c>
      <c r="E3408" s="2"/>
      <c r="F3408"/>
      <c r="G3408" t="s">
        <v>75</v>
      </c>
      <c r="H3408" t="s">
        <v>218</v>
      </c>
      <c r="I3408"/>
    </row>
    <row r="3409" spans="1:9">
      <c r="A3409" t="s">
        <v>3390</v>
      </c>
      <c r="B3409" s="1" t="str">
        <f>"20190064"</f>
        <v>20190064</v>
      </c>
      <c r="C3409" t="s">
        <v>3398</v>
      </c>
      <c r="D3409" t="s">
        <v>3401</v>
      </c>
      <c r="E3409" s="2"/>
      <c r="F3409"/>
      <c r="G3409" t="s">
        <v>75</v>
      </c>
      <c r="H3409" t="s">
        <v>75</v>
      </c>
      <c r="I3409"/>
    </row>
    <row r="3410" spans="1:9">
      <c r="A3410" t="s">
        <v>3390</v>
      </c>
      <c r="B3410" s="1" t="str">
        <f>"20190064.2"</f>
        <v>20190064.2</v>
      </c>
      <c r="C3410" t="s">
        <v>3398</v>
      </c>
      <c r="D3410" t="s">
        <v>3401</v>
      </c>
      <c r="E3410" s="2"/>
      <c r="F3410"/>
      <c r="G3410" t="s">
        <v>75</v>
      </c>
      <c r="H3410" t="s">
        <v>218</v>
      </c>
      <c r="I3410"/>
    </row>
    <row r="3411" spans="1:9">
      <c r="A3411" t="s">
        <v>3390</v>
      </c>
      <c r="B3411" s="1" t="str">
        <f>"20190065"</f>
        <v>20190065</v>
      </c>
      <c r="C3411" t="s">
        <v>3398</v>
      </c>
      <c r="D3411" t="s">
        <v>3402</v>
      </c>
      <c r="E3411" s="2"/>
      <c r="F3411"/>
      <c r="G3411" t="s">
        <v>75</v>
      </c>
      <c r="H3411" t="s">
        <v>75</v>
      </c>
      <c r="I3411"/>
    </row>
    <row r="3412" spans="1:9">
      <c r="A3412" t="s">
        <v>3390</v>
      </c>
      <c r="B3412" s="1" t="str">
        <f>"20190065.2"</f>
        <v>20190065.2</v>
      </c>
      <c r="C3412" t="s">
        <v>3398</v>
      </c>
      <c r="D3412" t="s">
        <v>3402</v>
      </c>
      <c r="E3412" s="2"/>
      <c r="F3412"/>
      <c r="G3412" t="s">
        <v>75</v>
      </c>
      <c r="H3412" t="s">
        <v>218</v>
      </c>
      <c r="I3412"/>
    </row>
    <row r="3413" spans="1:9">
      <c r="A3413" t="s">
        <v>3390</v>
      </c>
      <c r="B3413" s="1" t="str">
        <f>"20250256"</f>
        <v>20250256</v>
      </c>
      <c r="C3413" t="s">
        <v>3398</v>
      </c>
      <c r="D3413" t="s">
        <v>3403</v>
      </c>
      <c r="E3413" s="2"/>
      <c r="F3413"/>
      <c r="G3413" t="s">
        <v>80</v>
      </c>
      <c r="H3413" t="s">
        <v>80</v>
      </c>
      <c r="I3413"/>
    </row>
    <row r="3414" spans="1:9">
      <c r="A3414" t="s">
        <v>3390</v>
      </c>
      <c r="B3414" s="1" t="str">
        <f>"20250256.2"</f>
        <v>20250256.2</v>
      </c>
      <c r="C3414" t="s">
        <v>3398</v>
      </c>
      <c r="D3414" t="s">
        <v>3403</v>
      </c>
      <c r="E3414" s="2"/>
      <c r="F3414"/>
      <c r="G3414" t="s">
        <v>80</v>
      </c>
      <c r="H3414" t="s">
        <v>218</v>
      </c>
      <c r="I3414"/>
    </row>
    <row r="3415" spans="1:9">
      <c r="A3415" t="s">
        <v>3390</v>
      </c>
      <c r="B3415" s="1" t="str">
        <f>"20250393"</f>
        <v>20250393</v>
      </c>
      <c r="C3415" t="s">
        <v>3398</v>
      </c>
      <c r="D3415" t="s">
        <v>3404</v>
      </c>
      <c r="E3415" s="2"/>
      <c r="F3415"/>
      <c r="G3415" t="s">
        <v>80</v>
      </c>
      <c r="H3415" t="s">
        <v>80</v>
      </c>
      <c r="I3415"/>
    </row>
    <row r="3416" spans="1:9">
      <c r="A3416" t="s">
        <v>3390</v>
      </c>
      <c r="B3416" s="1" t="str">
        <f>"20250393.2"</f>
        <v>20250393.2</v>
      </c>
      <c r="C3416" t="s">
        <v>3398</v>
      </c>
      <c r="D3416" t="s">
        <v>3404</v>
      </c>
      <c r="E3416" s="2"/>
      <c r="F3416"/>
      <c r="G3416" t="s">
        <v>80</v>
      </c>
      <c r="H3416" t="s">
        <v>218</v>
      </c>
      <c r="I3416"/>
    </row>
    <row r="3417" spans="1:9">
      <c r="A3417" t="s">
        <v>3390</v>
      </c>
      <c r="B3417" s="1" t="str">
        <f>"20250546"</f>
        <v>20250546</v>
      </c>
      <c r="C3417" t="s">
        <v>3398</v>
      </c>
      <c r="D3417" t="s">
        <v>3405</v>
      </c>
      <c r="E3417" s="2"/>
      <c r="F3417"/>
      <c r="G3417" t="s">
        <v>80</v>
      </c>
      <c r="H3417" t="s">
        <v>80</v>
      </c>
      <c r="I3417"/>
    </row>
    <row r="3418" spans="1:9">
      <c r="A3418" t="s">
        <v>3390</v>
      </c>
      <c r="B3418" s="1" t="str">
        <f>"20250546.2"</f>
        <v>20250546.2</v>
      </c>
      <c r="C3418" t="s">
        <v>3398</v>
      </c>
      <c r="D3418" t="s">
        <v>3405</v>
      </c>
      <c r="E3418" s="2"/>
      <c r="F3418"/>
      <c r="G3418" t="s">
        <v>80</v>
      </c>
      <c r="H3418" t="s">
        <v>218</v>
      </c>
      <c r="I3418"/>
    </row>
    <row r="3419" spans="1:9">
      <c r="A3419" t="s">
        <v>3390</v>
      </c>
      <c r="B3419" s="1" t="str">
        <f>"20248970"</f>
        <v>20248970</v>
      </c>
      <c r="C3419" t="s">
        <v>3398</v>
      </c>
      <c r="D3419" t="s">
        <v>3406</v>
      </c>
      <c r="E3419" s="2"/>
      <c r="F3419"/>
      <c r="G3419" t="s">
        <v>82</v>
      </c>
      <c r="H3419" t="s">
        <v>82</v>
      </c>
      <c r="I3419"/>
    </row>
    <row r="3420" spans="1:9">
      <c r="A3420" t="s">
        <v>3390</v>
      </c>
      <c r="B3420" s="1" t="str">
        <f>"20248970.2"</f>
        <v>20248970.2</v>
      </c>
      <c r="C3420" t="s">
        <v>3398</v>
      </c>
      <c r="D3420" t="s">
        <v>3406</v>
      </c>
      <c r="E3420" s="2"/>
      <c r="F3420"/>
      <c r="G3420" t="s">
        <v>82</v>
      </c>
      <c r="H3420" t="s">
        <v>218</v>
      </c>
      <c r="I3420"/>
    </row>
    <row r="3421" spans="1:9">
      <c r="A3421" t="s">
        <v>3390</v>
      </c>
      <c r="B3421" s="1" t="str">
        <f>"20505028"</f>
        <v>20505028</v>
      </c>
      <c r="C3421" t="s">
        <v>3407</v>
      </c>
      <c r="D3421" t="s">
        <v>3408</v>
      </c>
      <c r="E3421" s="2"/>
      <c r="F3421"/>
      <c r="G3421" t="s">
        <v>19</v>
      </c>
      <c r="H3421" t="s">
        <v>19</v>
      </c>
      <c r="I3421"/>
    </row>
    <row r="3422" spans="1:9">
      <c r="A3422" t="s">
        <v>3390</v>
      </c>
      <c r="B3422" s="1" t="str">
        <f>"20505028.2"</f>
        <v>20505028.2</v>
      </c>
      <c r="C3422" t="s">
        <v>3407</v>
      </c>
      <c r="D3422" t="s">
        <v>3408</v>
      </c>
      <c r="E3422" s="2"/>
      <c r="F3422"/>
      <c r="G3422" t="s">
        <v>19</v>
      </c>
      <c r="H3422" t="s">
        <v>218</v>
      </c>
      <c r="I3422"/>
    </row>
    <row r="3423" spans="1:9">
      <c r="A3423" t="s">
        <v>3390</v>
      </c>
      <c r="B3423" s="1" t="str">
        <f>"20930163"</f>
        <v>20930163</v>
      </c>
      <c r="C3423" t="s">
        <v>3409</v>
      </c>
      <c r="D3423" t="s">
        <v>3410</v>
      </c>
      <c r="E3423" s="2"/>
      <c r="F3423"/>
      <c r="G3423" t="s">
        <v>80</v>
      </c>
      <c r="H3423" t="s">
        <v>80</v>
      </c>
      <c r="I3423"/>
    </row>
    <row r="3424" spans="1:9">
      <c r="A3424" t="s">
        <v>3390</v>
      </c>
      <c r="B3424" s="1" t="str">
        <f>"20930163.2"</f>
        <v>20930163.2</v>
      </c>
      <c r="C3424" t="s">
        <v>3409</v>
      </c>
      <c r="D3424" t="s">
        <v>3410</v>
      </c>
      <c r="E3424" s="2"/>
      <c r="F3424"/>
      <c r="G3424" t="s">
        <v>80</v>
      </c>
      <c r="H3424" t="s">
        <v>218</v>
      </c>
      <c r="I3424"/>
    </row>
    <row r="3425" spans="1:9">
      <c r="A3425" t="s">
        <v>3390</v>
      </c>
      <c r="B3425" s="1" t="str">
        <f>"20702070"</f>
        <v>20702070</v>
      </c>
      <c r="C3425" t="s">
        <v>3409</v>
      </c>
      <c r="D3425" t="s">
        <v>3411</v>
      </c>
      <c r="E3425" s="2"/>
      <c r="F3425"/>
      <c r="G3425" t="s">
        <v>82</v>
      </c>
      <c r="H3425" t="s">
        <v>82</v>
      </c>
      <c r="I3425"/>
    </row>
    <row r="3426" spans="1:9">
      <c r="A3426" t="s">
        <v>3390</v>
      </c>
      <c r="B3426" s="1" t="str">
        <f>"20702070.2"</f>
        <v>20702070.2</v>
      </c>
      <c r="C3426" t="s">
        <v>3409</v>
      </c>
      <c r="D3426" t="s">
        <v>3411</v>
      </c>
      <c r="E3426" s="2"/>
      <c r="F3426"/>
      <c r="G3426" t="s">
        <v>82</v>
      </c>
      <c r="H3426" t="s">
        <v>218</v>
      </c>
      <c r="I3426"/>
    </row>
    <row r="3427" spans="1:9">
      <c r="A3427" t="s">
        <v>3390</v>
      </c>
      <c r="B3427" s="1" t="str">
        <f>"20702104"</f>
        <v>20702104</v>
      </c>
      <c r="C3427" t="s">
        <v>3409</v>
      </c>
      <c r="D3427" t="s">
        <v>3412</v>
      </c>
      <c r="E3427" s="2"/>
      <c r="F3427" t="s">
        <v>1421</v>
      </c>
      <c r="G3427" t="s">
        <v>80</v>
      </c>
      <c r="H3427" t="s">
        <v>80</v>
      </c>
      <c r="I3427"/>
    </row>
    <row r="3428" spans="1:9">
      <c r="A3428" t="s">
        <v>3390</v>
      </c>
      <c r="B3428" s="1" t="str">
        <f>"20702104.2"</f>
        <v>20702104.2</v>
      </c>
      <c r="C3428" t="s">
        <v>3409</v>
      </c>
      <c r="D3428" t="s">
        <v>3412</v>
      </c>
      <c r="E3428" s="2"/>
      <c r="F3428" t="s">
        <v>1421</v>
      </c>
      <c r="G3428" t="s">
        <v>80</v>
      </c>
      <c r="H3428" t="s">
        <v>218</v>
      </c>
      <c r="I3428"/>
    </row>
    <row r="3429" spans="1:9">
      <c r="A3429" t="s">
        <v>3390</v>
      </c>
      <c r="B3429" s="1" t="str">
        <f>"20702082"</f>
        <v>20702082</v>
      </c>
      <c r="C3429" t="s">
        <v>3409</v>
      </c>
      <c r="D3429" t="s">
        <v>3413</v>
      </c>
      <c r="E3429" s="2"/>
      <c r="F3429" t="s">
        <v>56</v>
      </c>
      <c r="G3429" t="s">
        <v>80</v>
      </c>
      <c r="H3429" t="s">
        <v>80</v>
      </c>
      <c r="I3429"/>
    </row>
    <row r="3430" spans="1:9">
      <c r="A3430" t="s">
        <v>3390</v>
      </c>
      <c r="B3430" s="1" t="str">
        <f>"20702082.2"</f>
        <v>20702082.2</v>
      </c>
      <c r="C3430" t="s">
        <v>3409</v>
      </c>
      <c r="D3430" t="s">
        <v>3413</v>
      </c>
      <c r="E3430" s="2"/>
      <c r="F3430" t="s">
        <v>56</v>
      </c>
      <c r="G3430" t="s">
        <v>80</v>
      </c>
      <c r="H3430" t="s">
        <v>218</v>
      </c>
      <c r="I3430"/>
    </row>
    <row r="3431" spans="1:9">
      <c r="A3431" t="s">
        <v>3390</v>
      </c>
      <c r="B3431" s="1" t="str">
        <f>"20702064"</f>
        <v>20702064</v>
      </c>
      <c r="C3431" t="s">
        <v>3409</v>
      </c>
      <c r="D3431" t="s">
        <v>3414</v>
      </c>
      <c r="E3431" s="2"/>
      <c r="F3431"/>
      <c r="G3431" t="s">
        <v>82</v>
      </c>
      <c r="H3431" t="s">
        <v>82</v>
      </c>
      <c r="I3431"/>
    </row>
    <row r="3432" spans="1:9">
      <c r="A3432" t="s">
        <v>3390</v>
      </c>
      <c r="B3432" s="1" t="str">
        <f>"20702064.2"</f>
        <v>20702064.2</v>
      </c>
      <c r="C3432" t="s">
        <v>3409</v>
      </c>
      <c r="D3432" t="s">
        <v>3414</v>
      </c>
      <c r="E3432" s="2"/>
      <c r="F3432"/>
      <c r="G3432" t="s">
        <v>82</v>
      </c>
      <c r="H3432" t="s">
        <v>218</v>
      </c>
      <c r="I3432"/>
    </row>
    <row r="3433" spans="1:9">
      <c r="A3433" t="s">
        <v>3390</v>
      </c>
      <c r="B3433" s="1" t="str">
        <f>"20555528"</f>
        <v>20555528</v>
      </c>
      <c r="C3433" t="s">
        <v>3409</v>
      </c>
      <c r="D3433" t="s">
        <v>3415</v>
      </c>
      <c r="E3433" s="2"/>
      <c r="F3433"/>
      <c r="G3433" t="s">
        <v>80</v>
      </c>
      <c r="H3433" t="s">
        <v>80</v>
      </c>
      <c r="I3433"/>
    </row>
    <row r="3434" spans="1:9">
      <c r="A3434" t="s">
        <v>3390</v>
      </c>
      <c r="B3434" s="1" t="str">
        <f>"20555528.2"</f>
        <v>20555528.2</v>
      </c>
      <c r="C3434" t="s">
        <v>3409</v>
      </c>
      <c r="D3434" t="s">
        <v>3415</v>
      </c>
      <c r="E3434" s="2"/>
      <c r="F3434"/>
      <c r="G3434" t="s">
        <v>80</v>
      </c>
      <c r="H3434" t="s">
        <v>218</v>
      </c>
      <c r="I3434"/>
    </row>
    <row r="3435" spans="1:9">
      <c r="A3435" t="s">
        <v>3390</v>
      </c>
      <c r="B3435" s="1" t="str">
        <f>"20702060"</f>
        <v>20702060</v>
      </c>
      <c r="C3435" t="s">
        <v>3409</v>
      </c>
      <c r="D3435" t="s">
        <v>3416</v>
      </c>
      <c r="E3435" s="2"/>
      <c r="F3435" t="s">
        <v>272</v>
      </c>
      <c r="G3435" t="s">
        <v>80</v>
      </c>
      <c r="H3435" t="s">
        <v>80</v>
      </c>
      <c r="I3435"/>
    </row>
    <row r="3436" spans="1:9">
      <c r="A3436" t="s">
        <v>3390</v>
      </c>
      <c r="B3436" s="1" t="str">
        <f>"20702060.2"</f>
        <v>20702060.2</v>
      </c>
      <c r="C3436" t="s">
        <v>3409</v>
      </c>
      <c r="D3436" t="s">
        <v>3416</v>
      </c>
      <c r="E3436" s="2"/>
      <c r="F3436" t="s">
        <v>272</v>
      </c>
      <c r="G3436" t="s">
        <v>80</v>
      </c>
      <c r="H3436" t="s">
        <v>218</v>
      </c>
      <c r="I3436"/>
    </row>
    <row r="3437" spans="1:9">
      <c r="A3437" t="s">
        <v>3390</v>
      </c>
      <c r="B3437" s="1" t="str">
        <f>"20512668"</f>
        <v>20512668</v>
      </c>
      <c r="C3437" t="s">
        <v>3409</v>
      </c>
      <c r="D3437" t="s">
        <v>3417</v>
      </c>
      <c r="E3437" s="2"/>
      <c r="F3437"/>
      <c r="G3437" t="s">
        <v>80</v>
      </c>
      <c r="H3437" t="s">
        <v>80</v>
      </c>
      <c r="I3437"/>
    </row>
    <row r="3438" spans="1:9">
      <c r="A3438" t="s">
        <v>3390</v>
      </c>
      <c r="B3438" s="1" t="str">
        <f>"20512668.2"</f>
        <v>20512668.2</v>
      </c>
      <c r="C3438" t="s">
        <v>3409</v>
      </c>
      <c r="D3438" t="s">
        <v>3417</v>
      </c>
      <c r="E3438" s="2"/>
      <c r="F3438"/>
      <c r="G3438" t="s">
        <v>80</v>
      </c>
      <c r="H3438" t="s">
        <v>218</v>
      </c>
      <c r="I3438"/>
    </row>
    <row r="3439" spans="1:9">
      <c r="A3439" t="s">
        <v>3390</v>
      </c>
      <c r="B3439" s="1" t="str">
        <f>"20119485"</f>
        <v>20119485</v>
      </c>
      <c r="C3439" t="s">
        <v>3409</v>
      </c>
      <c r="D3439" t="s">
        <v>3418</v>
      </c>
      <c r="E3439" s="2"/>
      <c r="F3439" t="s">
        <v>1148</v>
      </c>
      <c r="G3439" t="s">
        <v>3419</v>
      </c>
      <c r="H3439" t="s">
        <v>3419</v>
      </c>
      <c r="I3439"/>
    </row>
    <row r="3440" spans="1:9">
      <c r="A3440" t="s">
        <v>3390</v>
      </c>
      <c r="B3440" s="1" t="str">
        <f>"20119485.2"</f>
        <v>20119485.2</v>
      </c>
      <c r="C3440" t="s">
        <v>3409</v>
      </c>
      <c r="D3440" t="s">
        <v>3418</v>
      </c>
      <c r="E3440" s="2"/>
      <c r="F3440" t="s">
        <v>1148</v>
      </c>
      <c r="G3440" t="s">
        <v>3419</v>
      </c>
      <c r="H3440" t="s">
        <v>329</v>
      </c>
      <c r="I3440"/>
    </row>
    <row r="3441" spans="1:9">
      <c r="A3441" t="s">
        <v>3390</v>
      </c>
      <c r="B3441" s="1" t="str">
        <f>"20119515"</f>
        <v>20119515</v>
      </c>
      <c r="C3441" t="s">
        <v>3409</v>
      </c>
      <c r="D3441" t="s">
        <v>3420</v>
      </c>
      <c r="E3441" s="2"/>
      <c r="F3441" t="s">
        <v>33</v>
      </c>
      <c r="G3441" t="s">
        <v>80</v>
      </c>
      <c r="H3441" t="s">
        <v>80</v>
      </c>
      <c r="I3441"/>
    </row>
    <row r="3442" spans="1:9">
      <c r="A3442" t="s">
        <v>3390</v>
      </c>
      <c r="B3442" s="1" t="str">
        <f>"20119515.2"</f>
        <v>20119515.2</v>
      </c>
      <c r="C3442" t="s">
        <v>3409</v>
      </c>
      <c r="D3442" t="s">
        <v>3420</v>
      </c>
      <c r="E3442" s="2"/>
      <c r="F3442" t="s">
        <v>33</v>
      </c>
      <c r="G3442" t="s">
        <v>80</v>
      </c>
      <c r="H3442" t="s">
        <v>218</v>
      </c>
      <c r="I3442"/>
    </row>
    <row r="3443" spans="1:9">
      <c r="A3443" t="s">
        <v>3390</v>
      </c>
      <c r="B3443" s="1" t="str">
        <f>"20118686"</f>
        <v>20118686</v>
      </c>
      <c r="C3443" t="s">
        <v>3409</v>
      </c>
      <c r="D3443" t="s">
        <v>3421</v>
      </c>
      <c r="E3443" s="2"/>
      <c r="F3443"/>
      <c r="G3443" t="s">
        <v>80</v>
      </c>
      <c r="H3443" t="s">
        <v>80</v>
      </c>
      <c r="I3443"/>
    </row>
    <row r="3444" spans="1:9">
      <c r="A3444" t="s">
        <v>3390</v>
      </c>
      <c r="B3444" s="1" t="str">
        <f>"20118686.2"</f>
        <v>20118686.2</v>
      </c>
      <c r="C3444" t="s">
        <v>3409</v>
      </c>
      <c r="D3444" t="s">
        <v>3421</v>
      </c>
      <c r="E3444" s="2"/>
      <c r="F3444"/>
      <c r="G3444" t="s">
        <v>80</v>
      </c>
      <c r="H3444" t="s">
        <v>218</v>
      </c>
      <c r="I3444"/>
    </row>
    <row r="3445" spans="1:9">
      <c r="A3445" t="s">
        <v>3390</v>
      </c>
      <c r="B3445" s="1" t="str">
        <f>"20119317"</f>
        <v>20119317</v>
      </c>
      <c r="C3445" t="s">
        <v>3409</v>
      </c>
      <c r="D3445" t="s">
        <v>3422</v>
      </c>
      <c r="E3445" s="2"/>
      <c r="F3445" t="s">
        <v>267</v>
      </c>
      <c r="G3445" t="s">
        <v>80</v>
      </c>
      <c r="H3445" t="s">
        <v>80</v>
      </c>
      <c r="I3445"/>
    </row>
    <row r="3446" spans="1:9">
      <c r="A3446" t="s">
        <v>3390</v>
      </c>
      <c r="B3446" s="1" t="str">
        <f>"20119317.2"</f>
        <v>20119317.2</v>
      </c>
      <c r="C3446" t="s">
        <v>3409</v>
      </c>
      <c r="D3446" t="s">
        <v>3422</v>
      </c>
      <c r="E3446" s="2"/>
      <c r="F3446" t="s">
        <v>267</v>
      </c>
      <c r="G3446" t="s">
        <v>80</v>
      </c>
      <c r="H3446" t="s">
        <v>218</v>
      </c>
      <c r="I3446"/>
    </row>
    <row r="3447" spans="1:9">
      <c r="A3447" t="s">
        <v>3390</v>
      </c>
      <c r="B3447" s="1" t="str">
        <f>"20118044"</f>
        <v>20118044</v>
      </c>
      <c r="C3447" t="s">
        <v>3409</v>
      </c>
      <c r="D3447" t="s">
        <v>3423</v>
      </c>
      <c r="E3447" s="2"/>
      <c r="F3447"/>
      <c r="G3447"/>
      <c r="H3447" t="s">
        <v>80</v>
      </c>
      <c r="I3447"/>
    </row>
    <row r="3448" spans="1:9">
      <c r="A3448" t="s">
        <v>3390</v>
      </c>
      <c r="B3448" s="1" t="str">
        <f>"20118044.2"</f>
        <v>20118044.2</v>
      </c>
      <c r="C3448" t="s">
        <v>3409</v>
      </c>
      <c r="D3448" t="s">
        <v>3423</v>
      </c>
      <c r="E3448" s="2"/>
      <c r="F3448"/>
      <c r="G3448"/>
      <c r="H3448" t="s">
        <v>218</v>
      </c>
      <c r="I3448"/>
    </row>
    <row r="3449" spans="1:9">
      <c r="A3449" t="s">
        <v>3390</v>
      </c>
      <c r="B3449" s="1" t="str">
        <f>"20702100"</f>
        <v>20702100</v>
      </c>
      <c r="C3449" t="s">
        <v>3409</v>
      </c>
      <c r="D3449" t="s">
        <v>3424</v>
      </c>
      <c r="E3449" s="2"/>
      <c r="F3449"/>
      <c r="G3449" t="s">
        <v>80</v>
      </c>
      <c r="H3449" t="s">
        <v>80</v>
      </c>
      <c r="I3449"/>
    </row>
    <row r="3450" spans="1:9">
      <c r="A3450" t="s">
        <v>3390</v>
      </c>
      <c r="B3450" s="1" t="str">
        <f>"20702100.2"</f>
        <v>20702100.2</v>
      </c>
      <c r="C3450" t="s">
        <v>3409</v>
      </c>
      <c r="D3450" t="s">
        <v>3424</v>
      </c>
      <c r="E3450" s="2"/>
      <c r="F3450"/>
      <c r="G3450" t="s">
        <v>80</v>
      </c>
      <c r="H3450" t="s">
        <v>218</v>
      </c>
      <c r="I3450"/>
    </row>
    <row r="3451" spans="1:9">
      <c r="A3451" t="s">
        <v>3390</v>
      </c>
      <c r="B3451" s="1" t="str">
        <f>"20119492"</f>
        <v>20119492</v>
      </c>
      <c r="C3451" t="s">
        <v>3409</v>
      </c>
      <c r="D3451" t="s">
        <v>3425</v>
      </c>
      <c r="E3451" s="2"/>
      <c r="F3451"/>
      <c r="G3451" t="s">
        <v>80</v>
      </c>
      <c r="H3451" t="s">
        <v>80</v>
      </c>
      <c r="I3451"/>
    </row>
    <row r="3452" spans="1:9">
      <c r="A3452" t="s">
        <v>3390</v>
      </c>
      <c r="B3452" s="1" t="str">
        <f>"20119492.2"</f>
        <v>20119492.2</v>
      </c>
      <c r="C3452" t="s">
        <v>3409</v>
      </c>
      <c r="D3452" t="s">
        <v>3425</v>
      </c>
      <c r="E3452" s="2"/>
      <c r="F3452"/>
      <c r="G3452" t="s">
        <v>80</v>
      </c>
      <c r="H3452" t="s">
        <v>218</v>
      </c>
      <c r="I3452"/>
    </row>
    <row r="3453" spans="1:9">
      <c r="A3453" t="s">
        <v>3390</v>
      </c>
      <c r="B3453" s="1" t="str">
        <f>"20702074"</f>
        <v>20702074</v>
      </c>
      <c r="C3453" t="s">
        <v>3409</v>
      </c>
      <c r="D3453" t="s">
        <v>3426</v>
      </c>
      <c r="E3453" s="2"/>
      <c r="F3453"/>
      <c r="G3453" t="s">
        <v>82</v>
      </c>
      <c r="H3453" t="s">
        <v>82</v>
      </c>
      <c r="I3453"/>
    </row>
    <row r="3454" spans="1:9">
      <c r="A3454" t="s">
        <v>3390</v>
      </c>
      <c r="B3454" s="1" t="str">
        <f>"20702074.2"</f>
        <v>20702074.2</v>
      </c>
      <c r="C3454" t="s">
        <v>3409</v>
      </c>
      <c r="D3454" t="s">
        <v>3426</v>
      </c>
      <c r="E3454" s="2"/>
      <c r="F3454"/>
      <c r="G3454" t="s">
        <v>82</v>
      </c>
      <c r="H3454" t="s">
        <v>218</v>
      </c>
      <c r="I3454"/>
    </row>
    <row r="3455" spans="1:9">
      <c r="A3455" t="s">
        <v>3390</v>
      </c>
      <c r="B3455" s="1" t="str">
        <f>"27726105"</f>
        <v>27726105</v>
      </c>
      <c r="C3455" t="s">
        <v>3409</v>
      </c>
      <c r="D3455" t="s">
        <v>3427</v>
      </c>
      <c r="E3455" s="2"/>
      <c r="F3455"/>
      <c r="G3455" t="s">
        <v>3428</v>
      </c>
      <c r="H3455" t="s">
        <v>3428</v>
      </c>
      <c r="I3455"/>
    </row>
    <row r="3456" spans="1:9">
      <c r="A3456" t="s">
        <v>3390</v>
      </c>
      <c r="B3456" s="1" t="str">
        <f>"27726105.2"</f>
        <v>27726105.2</v>
      </c>
      <c r="C3456" t="s">
        <v>3409</v>
      </c>
      <c r="D3456" t="s">
        <v>3427</v>
      </c>
      <c r="E3456" s="2"/>
      <c r="F3456"/>
      <c r="G3456" t="s">
        <v>3428</v>
      </c>
      <c r="H3456" t="s">
        <v>218</v>
      </c>
      <c r="I3456"/>
    </row>
    <row r="3457" spans="1:9">
      <c r="A3457" t="s">
        <v>3390</v>
      </c>
      <c r="B3457" s="1" t="str">
        <f>"20195236"</f>
        <v>20195236</v>
      </c>
      <c r="C3457" t="s">
        <v>3409</v>
      </c>
      <c r="D3457" t="s">
        <v>3429</v>
      </c>
      <c r="E3457" s="2"/>
      <c r="F3457"/>
      <c r="G3457" t="s">
        <v>80</v>
      </c>
      <c r="H3457" t="s">
        <v>80</v>
      </c>
      <c r="I3457"/>
    </row>
    <row r="3458" spans="1:9">
      <c r="A3458" t="s">
        <v>3390</v>
      </c>
      <c r="B3458" s="1" t="str">
        <f>"20195236.2"</f>
        <v>20195236.2</v>
      </c>
      <c r="C3458" t="s">
        <v>3409</v>
      </c>
      <c r="D3458" t="s">
        <v>3429</v>
      </c>
      <c r="E3458" s="2"/>
      <c r="F3458"/>
      <c r="G3458" t="s">
        <v>80</v>
      </c>
      <c r="H3458" t="s">
        <v>218</v>
      </c>
      <c r="I3458"/>
    </row>
    <row r="3459" spans="1:9">
      <c r="A3459" t="s">
        <v>3390</v>
      </c>
      <c r="B3459" s="1" t="str">
        <f>"20702051"</f>
        <v>20702051</v>
      </c>
      <c r="C3459" t="s">
        <v>3409</v>
      </c>
      <c r="D3459" t="s">
        <v>3430</v>
      </c>
      <c r="E3459" s="2"/>
      <c r="F3459"/>
      <c r="G3459" t="s">
        <v>80</v>
      </c>
      <c r="H3459" t="s">
        <v>80</v>
      </c>
      <c r="I3459"/>
    </row>
    <row r="3460" spans="1:9">
      <c r="A3460" t="s">
        <v>3390</v>
      </c>
      <c r="B3460" s="1" t="str">
        <f>"20702051.2"</f>
        <v>20702051.2</v>
      </c>
      <c r="C3460" t="s">
        <v>3409</v>
      </c>
      <c r="D3460" t="s">
        <v>3430</v>
      </c>
      <c r="E3460" s="2"/>
      <c r="F3460"/>
      <c r="G3460" t="s">
        <v>80</v>
      </c>
      <c r="H3460" t="s">
        <v>218</v>
      </c>
      <c r="I3460"/>
    </row>
    <row r="3461" spans="1:9">
      <c r="A3461" t="s">
        <v>3390</v>
      </c>
      <c r="B3461" s="1" t="str">
        <f>"20702062"</f>
        <v>20702062</v>
      </c>
      <c r="C3461" t="s">
        <v>3409</v>
      </c>
      <c r="D3461" t="s">
        <v>3431</v>
      </c>
      <c r="E3461" s="2"/>
      <c r="F3461"/>
      <c r="G3461" t="s">
        <v>80</v>
      </c>
      <c r="H3461" t="s">
        <v>80</v>
      </c>
      <c r="I3461"/>
    </row>
    <row r="3462" spans="1:9">
      <c r="A3462" t="s">
        <v>3390</v>
      </c>
      <c r="B3462" s="1" t="str">
        <f>"20702062.2"</f>
        <v>20702062.2</v>
      </c>
      <c r="C3462" t="s">
        <v>3409</v>
      </c>
      <c r="D3462" t="s">
        <v>3431</v>
      </c>
      <c r="E3462" s="2"/>
      <c r="F3462"/>
      <c r="G3462" t="s">
        <v>80</v>
      </c>
      <c r="H3462" t="s">
        <v>218</v>
      </c>
      <c r="I3462"/>
    </row>
    <row r="3463" spans="1:9">
      <c r="A3463" t="s">
        <v>3390</v>
      </c>
      <c r="B3463" s="1" t="str">
        <f>"20702085"</f>
        <v>20702085</v>
      </c>
      <c r="C3463" t="s">
        <v>3409</v>
      </c>
      <c r="D3463" t="s">
        <v>3432</v>
      </c>
      <c r="E3463" s="2"/>
      <c r="F3463" t="s">
        <v>1421</v>
      </c>
      <c r="G3463" t="s">
        <v>80</v>
      </c>
      <c r="H3463" t="s">
        <v>80</v>
      </c>
      <c r="I3463"/>
    </row>
    <row r="3464" spans="1:9">
      <c r="A3464" t="s">
        <v>3390</v>
      </c>
      <c r="B3464" s="1" t="str">
        <f>"20702085.2"</f>
        <v>20702085.2</v>
      </c>
      <c r="C3464" t="s">
        <v>3409</v>
      </c>
      <c r="D3464" t="s">
        <v>3432</v>
      </c>
      <c r="E3464" s="2"/>
      <c r="F3464" t="s">
        <v>1421</v>
      </c>
      <c r="G3464" t="s">
        <v>80</v>
      </c>
      <c r="H3464" t="s">
        <v>218</v>
      </c>
      <c r="I3464"/>
    </row>
    <row r="3465" spans="1:9">
      <c r="A3465" t="s">
        <v>3390</v>
      </c>
      <c r="B3465" s="1" t="str">
        <f>"20011484"</f>
        <v>20011484</v>
      </c>
      <c r="C3465" t="s">
        <v>3409</v>
      </c>
      <c r="D3465" t="s">
        <v>3433</v>
      </c>
      <c r="E3465" s="2"/>
      <c r="F3465" t="s">
        <v>267</v>
      </c>
      <c r="G3465" t="s">
        <v>82</v>
      </c>
      <c r="H3465" t="s">
        <v>82</v>
      </c>
      <c r="I3465"/>
    </row>
    <row r="3466" spans="1:9">
      <c r="A3466" t="s">
        <v>3390</v>
      </c>
      <c r="B3466" s="1" t="str">
        <f>"20011484.2"</f>
        <v>20011484.2</v>
      </c>
      <c r="C3466" t="s">
        <v>3409</v>
      </c>
      <c r="D3466" t="s">
        <v>3433</v>
      </c>
      <c r="E3466" s="2"/>
      <c r="F3466" t="s">
        <v>267</v>
      </c>
      <c r="G3466" t="s">
        <v>82</v>
      </c>
      <c r="H3466" t="s">
        <v>218</v>
      </c>
      <c r="I3466"/>
    </row>
    <row r="3467" spans="1:9">
      <c r="A3467" t="s">
        <v>3390</v>
      </c>
      <c r="B3467" s="1" t="str">
        <f>"20702075"</f>
        <v>20702075</v>
      </c>
      <c r="C3467" t="s">
        <v>3409</v>
      </c>
      <c r="D3467" t="s">
        <v>3434</v>
      </c>
      <c r="E3467" s="2"/>
      <c r="F3467"/>
      <c r="G3467" t="s">
        <v>80</v>
      </c>
      <c r="H3467" t="s">
        <v>80</v>
      </c>
      <c r="I3467"/>
    </row>
    <row r="3468" spans="1:9">
      <c r="A3468" t="s">
        <v>3390</v>
      </c>
      <c r="B3468" s="1" t="str">
        <f>"20702075.2"</f>
        <v>20702075.2</v>
      </c>
      <c r="C3468" t="s">
        <v>3409</v>
      </c>
      <c r="D3468" t="s">
        <v>3434</v>
      </c>
      <c r="E3468" s="2"/>
      <c r="F3468"/>
      <c r="G3468" t="s">
        <v>80</v>
      </c>
      <c r="H3468" t="s">
        <v>218</v>
      </c>
      <c r="I3468"/>
    </row>
    <row r="3469" spans="1:9">
      <c r="A3469" t="s">
        <v>3390</v>
      </c>
      <c r="B3469" s="1" t="str">
        <f>"20702084"</f>
        <v>20702084</v>
      </c>
      <c r="C3469" t="s">
        <v>3409</v>
      </c>
      <c r="D3469" t="s">
        <v>3435</v>
      </c>
      <c r="E3469" s="2"/>
      <c r="F3469" t="s">
        <v>2616</v>
      </c>
      <c r="G3469" t="s">
        <v>80</v>
      </c>
      <c r="H3469" t="s">
        <v>80</v>
      </c>
      <c r="I3469"/>
    </row>
    <row r="3470" spans="1:9">
      <c r="A3470" t="s">
        <v>3390</v>
      </c>
      <c r="B3470" s="1" t="str">
        <f>"20702084.2"</f>
        <v>20702084.2</v>
      </c>
      <c r="C3470" t="s">
        <v>3409</v>
      </c>
      <c r="D3470" t="s">
        <v>3435</v>
      </c>
      <c r="E3470" s="2"/>
      <c r="F3470" t="s">
        <v>2616</v>
      </c>
      <c r="G3470" t="s">
        <v>80</v>
      </c>
      <c r="H3470" t="s">
        <v>218</v>
      </c>
      <c r="I3470"/>
    </row>
    <row r="3471" spans="1:9">
      <c r="A3471" t="s">
        <v>3390</v>
      </c>
      <c r="B3471" s="1" t="str">
        <f>"20524009"</f>
        <v>20524009</v>
      </c>
      <c r="C3471" t="s">
        <v>3409</v>
      </c>
      <c r="D3471" t="s">
        <v>3436</v>
      </c>
      <c r="E3471" s="2"/>
      <c r="F3471" t="s">
        <v>267</v>
      </c>
      <c r="G3471" t="s">
        <v>82</v>
      </c>
      <c r="H3471" t="s">
        <v>82</v>
      </c>
      <c r="I3471"/>
    </row>
    <row r="3472" spans="1:9">
      <c r="A3472" t="s">
        <v>3390</v>
      </c>
      <c r="B3472" s="1" t="str">
        <f>"20524009.2"</f>
        <v>20524009.2</v>
      </c>
      <c r="C3472" t="s">
        <v>3409</v>
      </c>
      <c r="D3472" t="s">
        <v>3436</v>
      </c>
      <c r="E3472" s="2"/>
      <c r="F3472" t="s">
        <v>267</v>
      </c>
      <c r="G3472" t="s">
        <v>82</v>
      </c>
      <c r="H3472" t="s">
        <v>218</v>
      </c>
      <c r="I3472"/>
    </row>
    <row r="3473" spans="1:9">
      <c r="A3473" t="s">
        <v>3390</v>
      </c>
      <c r="B3473" s="1" t="str">
        <f>"20702101"</f>
        <v>20702101</v>
      </c>
      <c r="C3473" t="s">
        <v>3409</v>
      </c>
      <c r="D3473" t="s">
        <v>3437</v>
      </c>
      <c r="E3473" s="2"/>
      <c r="F3473" t="s">
        <v>267</v>
      </c>
      <c r="G3473" t="s">
        <v>80</v>
      </c>
      <c r="H3473" t="s">
        <v>80</v>
      </c>
      <c r="I3473"/>
    </row>
    <row r="3474" spans="1:9">
      <c r="A3474" t="s">
        <v>3390</v>
      </c>
      <c r="B3474" s="1" t="str">
        <f>"20702101.2"</f>
        <v>20702101.2</v>
      </c>
      <c r="C3474" t="s">
        <v>3409</v>
      </c>
      <c r="D3474" t="s">
        <v>3437</v>
      </c>
      <c r="E3474" s="2"/>
      <c r="F3474" t="s">
        <v>267</v>
      </c>
      <c r="G3474" t="s">
        <v>80</v>
      </c>
      <c r="H3474" t="s">
        <v>218</v>
      </c>
      <c r="I3474"/>
    </row>
    <row r="3475" spans="1:9">
      <c r="A3475" t="s">
        <v>3390</v>
      </c>
      <c r="B3475" s="1" t="str">
        <f>"20659449"</f>
        <v>20659449</v>
      </c>
      <c r="C3475" t="s">
        <v>3409</v>
      </c>
      <c r="D3475" t="s">
        <v>3438</v>
      </c>
      <c r="E3475" s="2"/>
      <c r="F3475"/>
      <c r="G3475" t="s">
        <v>80</v>
      </c>
      <c r="H3475" t="s">
        <v>80</v>
      </c>
      <c r="I3475"/>
    </row>
    <row r="3476" spans="1:9">
      <c r="A3476" t="s">
        <v>3390</v>
      </c>
      <c r="B3476" s="1" t="str">
        <f>"20659449.2"</f>
        <v>20659449.2</v>
      </c>
      <c r="C3476" t="s">
        <v>3409</v>
      </c>
      <c r="D3476" t="s">
        <v>3438</v>
      </c>
      <c r="E3476" s="2"/>
      <c r="F3476"/>
      <c r="G3476" t="s">
        <v>80</v>
      </c>
      <c r="H3476" t="s">
        <v>218</v>
      </c>
      <c r="I3476"/>
    </row>
    <row r="3477" spans="1:9">
      <c r="A3477" t="s">
        <v>3390</v>
      </c>
      <c r="B3477" s="1" t="str">
        <f>"20710969"</f>
        <v>20710969</v>
      </c>
      <c r="C3477" t="s">
        <v>3409</v>
      </c>
      <c r="D3477" t="s">
        <v>3439</v>
      </c>
      <c r="E3477" s="2"/>
      <c r="F3477"/>
      <c r="G3477" t="s">
        <v>80</v>
      </c>
      <c r="H3477" t="s">
        <v>80</v>
      </c>
      <c r="I3477"/>
    </row>
    <row r="3478" spans="1:9">
      <c r="A3478" t="s">
        <v>3390</v>
      </c>
      <c r="B3478" s="1" t="str">
        <f>"20710969.2"</f>
        <v>20710969.2</v>
      </c>
      <c r="C3478" t="s">
        <v>3409</v>
      </c>
      <c r="D3478" t="s">
        <v>3439</v>
      </c>
      <c r="E3478" s="2"/>
      <c r="F3478"/>
      <c r="G3478" t="s">
        <v>80</v>
      </c>
      <c r="H3478" t="s">
        <v>218</v>
      </c>
      <c r="I3478"/>
    </row>
    <row r="3479" spans="1:9">
      <c r="A3479" t="s">
        <v>3390</v>
      </c>
      <c r="B3479" s="1" t="str">
        <f>"20702089"</f>
        <v>20702089</v>
      </c>
      <c r="C3479" t="s">
        <v>3409</v>
      </c>
      <c r="D3479" t="s">
        <v>3440</v>
      </c>
      <c r="E3479" s="2"/>
      <c r="F3479" t="s">
        <v>107</v>
      </c>
      <c r="G3479" t="s">
        <v>80</v>
      </c>
      <c r="H3479" t="s">
        <v>80</v>
      </c>
      <c r="I3479"/>
    </row>
    <row r="3480" spans="1:9">
      <c r="A3480" t="s">
        <v>3390</v>
      </c>
      <c r="B3480" s="1" t="str">
        <f>"20702089.2"</f>
        <v>20702089.2</v>
      </c>
      <c r="C3480" t="s">
        <v>3409</v>
      </c>
      <c r="D3480" t="s">
        <v>3440</v>
      </c>
      <c r="E3480" s="2"/>
      <c r="F3480" t="s">
        <v>107</v>
      </c>
      <c r="G3480" t="s">
        <v>80</v>
      </c>
      <c r="H3480" t="s">
        <v>218</v>
      </c>
      <c r="I3480"/>
    </row>
    <row r="3481" spans="1:9">
      <c r="A3481" t="s">
        <v>3390</v>
      </c>
      <c r="B3481" s="1" t="str">
        <f>"20524008"</f>
        <v>20524008</v>
      </c>
      <c r="C3481" t="s">
        <v>3409</v>
      </c>
      <c r="D3481" t="s">
        <v>3441</v>
      </c>
      <c r="E3481" s="2"/>
      <c r="F3481" t="s">
        <v>267</v>
      </c>
      <c r="G3481" t="s">
        <v>82</v>
      </c>
      <c r="H3481" t="s">
        <v>82</v>
      </c>
      <c r="I3481"/>
    </row>
    <row r="3482" spans="1:9">
      <c r="A3482" t="s">
        <v>3390</v>
      </c>
      <c r="B3482" s="1" t="str">
        <f>"20524008.2"</f>
        <v>20524008.2</v>
      </c>
      <c r="C3482" t="s">
        <v>3409</v>
      </c>
      <c r="D3482" t="s">
        <v>3441</v>
      </c>
      <c r="E3482" s="2"/>
      <c r="F3482" t="s">
        <v>267</v>
      </c>
      <c r="G3482" t="s">
        <v>82</v>
      </c>
      <c r="H3482" t="s">
        <v>218</v>
      </c>
      <c r="I3482"/>
    </row>
    <row r="3483" spans="1:9">
      <c r="A3483" t="s">
        <v>3390</v>
      </c>
      <c r="B3483" s="1" t="str">
        <f>"20524011"</f>
        <v>20524011</v>
      </c>
      <c r="C3483" t="s">
        <v>3409</v>
      </c>
      <c r="D3483" t="s">
        <v>3442</v>
      </c>
      <c r="E3483" s="2"/>
      <c r="F3483" t="s">
        <v>2616</v>
      </c>
      <c r="G3483" t="s">
        <v>80</v>
      </c>
      <c r="H3483" t="s">
        <v>80</v>
      </c>
      <c r="I3483"/>
    </row>
    <row r="3484" spans="1:9">
      <c r="A3484" t="s">
        <v>3390</v>
      </c>
      <c r="B3484" s="1" t="str">
        <f>"20524011.2"</f>
        <v>20524011.2</v>
      </c>
      <c r="C3484" t="s">
        <v>3409</v>
      </c>
      <c r="D3484" t="s">
        <v>3442</v>
      </c>
      <c r="E3484" s="2"/>
      <c r="F3484" t="s">
        <v>2616</v>
      </c>
      <c r="G3484" t="s">
        <v>80</v>
      </c>
      <c r="H3484" t="s">
        <v>218</v>
      </c>
      <c r="I3484"/>
    </row>
    <row r="3485" spans="1:9">
      <c r="A3485" t="s">
        <v>3390</v>
      </c>
      <c r="B3485" s="1" t="str">
        <f>"20524010"</f>
        <v>20524010</v>
      </c>
      <c r="C3485" t="s">
        <v>3409</v>
      </c>
      <c r="D3485" t="s">
        <v>3443</v>
      </c>
      <c r="E3485" s="2"/>
      <c r="F3485" t="s">
        <v>681</v>
      </c>
      <c r="G3485" t="s">
        <v>80</v>
      </c>
      <c r="H3485" t="s">
        <v>80</v>
      </c>
      <c r="I3485"/>
    </row>
    <row r="3486" spans="1:9">
      <c r="A3486" t="s">
        <v>3390</v>
      </c>
      <c r="B3486" s="1" t="str">
        <f>"20524010.2"</f>
        <v>20524010.2</v>
      </c>
      <c r="C3486" t="s">
        <v>3409</v>
      </c>
      <c r="D3486" t="s">
        <v>3443</v>
      </c>
      <c r="E3486" s="2"/>
      <c r="F3486" t="s">
        <v>681</v>
      </c>
      <c r="G3486" t="s">
        <v>80</v>
      </c>
      <c r="H3486" t="s">
        <v>218</v>
      </c>
      <c r="I3486"/>
    </row>
    <row r="3487" spans="1:9">
      <c r="A3487" t="s">
        <v>3390</v>
      </c>
      <c r="B3487" s="1" t="str">
        <f>"20702059"</f>
        <v>20702059</v>
      </c>
      <c r="C3487" t="s">
        <v>3409</v>
      </c>
      <c r="D3487" t="s">
        <v>3444</v>
      </c>
      <c r="E3487" s="2"/>
      <c r="F3487" t="s">
        <v>3445</v>
      </c>
      <c r="G3487" t="s">
        <v>80</v>
      </c>
      <c r="H3487" t="s">
        <v>80</v>
      </c>
      <c r="I3487"/>
    </row>
    <row r="3488" spans="1:9">
      <c r="A3488" t="s">
        <v>3390</v>
      </c>
      <c r="B3488" s="1" t="str">
        <f>"20702059.2"</f>
        <v>20702059.2</v>
      </c>
      <c r="C3488" t="s">
        <v>3409</v>
      </c>
      <c r="D3488" t="s">
        <v>3444</v>
      </c>
      <c r="E3488" s="2"/>
      <c r="F3488" t="s">
        <v>3445</v>
      </c>
      <c r="G3488" t="s">
        <v>80</v>
      </c>
      <c r="H3488" t="s">
        <v>218</v>
      </c>
      <c r="I3488"/>
    </row>
    <row r="3489" spans="1:9">
      <c r="A3489" t="s">
        <v>3390</v>
      </c>
      <c r="B3489" s="1" t="str">
        <f>"20702065"</f>
        <v>20702065</v>
      </c>
      <c r="C3489" t="s">
        <v>3409</v>
      </c>
      <c r="D3489" t="s">
        <v>3446</v>
      </c>
      <c r="E3489" s="2"/>
      <c r="F3489" t="s">
        <v>107</v>
      </c>
      <c r="G3489" t="s">
        <v>80</v>
      </c>
      <c r="H3489" t="s">
        <v>80</v>
      </c>
      <c r="I3489"/>
    </row>
    <row r="3490" spans="1:9">
      <c r="A3490" t="s">
        <v>3390</v>
      </c>
      <c r="B3490" s="1" t="str">
        <f>"20702065.2"</f>
        <v>20702065.2</v>
      </c>
      <c r="C3490" t="s">
        <v>3409</v>
      </c>
      <c r="D3490" t="s">
        <v>3446</v>
      </c>
      <c r="E3490" s="2"/>
      <c r="F3490" t="s">
        <v>107</v>
      </c>
      <c r="G3490" t="s">
        <v>80</v>
      </c>
      <c r="H3490" t="s">
        <v>218</v>
      </c>
      <c r="I3490"/>
    </row>
    <row r="3491" spans="1:9">
      <c r="A3491" t="s">
        <v>3390</v>
      </c>
      <c r="B3491" s="1" t="str">
        <f>"20524015"</f>
        <v>20524015</v>
      </c>
      <c r="C3491" t="s">
        <v>3409</v>
      </c>
      <c r="D3491" t="s">
        <v>3447</v>
      </c>
      <c r="E3491" s="2"/>
      <c r="F3491"/>
      <c r="G3491" t="s">
        <v>80</v>
      </c>
      <c r="H3491" t="s">
        <v>80</v>
      </c>
      <c r="I3491"/>
    </row>
    <row r="3492" spans="1:9">
      <c r="A3492" t="s">
        <v>3390</v>
      </c>
      <c r="B3492" s="1" t="str">
        <f>"20524015.2"</f>
        <v>20524015.2</v>
      </c>
      <c r="C3492" t="s">
        <v>3409</v>
      </c>
      <c r="D3492" t="s">
        <v>3447</v>
      </c>
      <c r="E3492" s="2"/>
      <c r="F3492"/>
      <c r="G3492" t="s">
        <v>80</v>
      </c>
      <c r="H3492" t="s">
        <v>218</v>
      </c>
      <c r="I3492"/>
    </row>
    <row r="3493" spans="1:9">
      <c r="A3493" t="s">
        <v>3390</v>
      </c>
      <c r="B3493" s="1" t="str">
        <f>"20702078"</f>
        <v>20702078</v>
      </c>
      <c r="C3493" t="s">
        <v>3409</v>
      </c>
      <c r="D3493" t="s">
        <v>3448</v>
      </c>
      <c r="E3493" s="2"/>
      <c r="F3493" t="s">
        <v>107</v>
      </c>
      <c r="G3493" t="s">
        <v>80</v>
      </c>
      <c r="H3493" t="s">
        <v>80</v>
      </c>
      <c r="I3493"/>
    </row>
    <row r="3494" spans="1:9">
      <c r="A3494" t="s">
        <v>3390</v>
      </c>
      <c r="B3494" s="1" t="str">
        <f>"20702078.2"</f>
        <v>20702078.2</v>
      </c>
      <c r="C3494" t="s">
        <v>3409</v>
      </c>
      <c r="D3494" t="s">
        <v>3448</v>
      </c>
      <c r="E3494" s="2"/>
      <c r="F3494" t="s">
        <v>107</v>
      </c>
      <c r="G3494" t="s">
        <v>80</v>
      </c>
      <c r="H3494" t="s">
        <v>218</v>
      </c>
      <c r="I3494"/>
    </row>
    <row r="3495" spans="1:9">
      <c r="A3495" t="s">
        <v>3390</v>
      </c>
      <c r="B3495" s="1" t="str">
        <f>"20702103"</f>
        <v>20702103</v>
      </c>
      <c r="C3495" t="s">
        <v>3409</v>
      </c>
      <c r="D3495" t="s">
        <v>3449</v>
      </c>
      <c r="E3495" s="2"/>
      <c r="F3495" t="s">
        <v>56</v>
      </c>
      <c r="G3495" t="s">
        <v>80</v>
      </c>
      <c r="H3495" t="s">
        <v>80</v>
      </c>
      <c r="I3495"/>
    </row>
    <row r="3496" spans="1:9">
      <c r="A3496" t="s">
        <v>3390</v>
      </c>
      <c r="B3496" s="1" t="str">
        <f>"20702103.2"</f>
        <v>20702103.2</v>
      </c>
      <c r="C3496" t="s">
        <v>3409</v>
      </c>
      <c r="D3496" t="s">
        <v>3449</v>
      </c>
      <c r="E3496" s="2"/>
      <c r="F3496" t="s">
        <v>56</v>
      </c>
      <c r="G3496" t="s">
        <v>80</v>
      </c>
      <c r="H3496" t="s">
        <v>218</v>
      </c>
      <c r="I3496"/>
    </row>
    <row r="3497" spans="1:9">
      <c r="A3497" t="s">
        <v>3390</v>
      </c>
      <c r="B3497" s="1" t="str">
        <f>"20524014"</f>
        <v>20524014</v>
      </c>
      <c r="C3497" t="s">
        <v>3409</v>
      </c>
      <c r="D3497" t="s">
        <v>3450</v>
      </c>
      <c r="E3497" s="2"/>
      <c r="F3497" t="s">
        <v>56</v>
      </c>
      <c r="G3497" t="s">
        <v>80</v>
      </c>
      <c r="H3497" t="s">
        <v>80</v>
      </c>
      <c r="I3497"/>
    </row>
    <row r="3498" spans="1:9">
      <c r="A3498" t="s">
        <v>3390</v>
      </c>
      <c r="B3498" s="1" t="str">
        <f>"20524014.2"</f>
        <v>20524014.2</v>
      </c>
      <c r="C3498" t="s">
        <v>3409</v>
      </c>
      <c r="D3498" t="s">
        <v>3450</v>
      </c>
      <c r="E3498" s="2"/>
      <c r="F3498" t="s">
        <v>56</v>
      </c>
      <c r="G3498" t="s">
        <v>80</v>
      </c>
      <c r="H3498" t="s">
        <v>218</v>
      </c>
      <c r="I3498"/>
    </row>
    <row r="3499" spans="1:9">
      <c r="A3499" t="s">
        <v>3390</v>
      </c>
      <c r="B3499" s="1" t="str">
        <f>"20702097"</f>
        <v>20702097</v>
      </c>
      <c r="C3499" t="s">
        <v>3409</v>
      </c>
      <c r="D3499" t="s">
        <v>3451</v>
      </c>
      <c r="E3499" s="2"/>
      <c r="F3499" t="s">
        <v>56</v>
      </c>
      <c r="G3499" t="s">
        <v>80</v>
      </c>
      <c r="H3499" t="s">
        <v>80</v>
      </c>
      <c r="I3499"/>
    </row>
    <row r="3500" spans="1:9">
      <c r="A3500" t="s">
        <v>3390</v>
      </c>
      <c r="B3500" s="1" t="str">
        <f>"20702097.2"</f>
        <v>20702097.2</v>
      </c>
      <c r="C3500" t="s">
        <v>3409</v>
      </c>
      <c r="D3500" t="s">
        <v>3451</v>
      </c>
      <c r="E3500" s="2"/>
      <c r="F3500" t="s">
        <v>56</v>
      </c>
      <c r="G3500" t="s">
        <v>80</v>
      </c>
      <c r="H3500" t="s">
        <v>218</v>
      </c>
      <c r="I3500"/>
    </row>
    <row r="3501" spans="1:9">
      <c r="A3501" t="s">
        <v>3390</v>
      </c>
      <c r="B3501" s="1" t="str">
        <f>"20702058"</f>
        <v>20702058</v>
      </c>
      <c r="C3501" t="s">
        <v>3409</v>
      </c>
      <c r="D3501" t="s">
        <v>3452</v>
      </c>
      <c r="E3501" s="2"/>
      <c r="F3501"/>
      <c r="G3501" t="s">
        <v>80</v>
      </c>
      <c r="H3501" t="s">
        <v>80</v>
      </c>
      <c r="I3501"/>
    </row>
    <row r="3502" spans="1:9">
      <c r="A3502" t="s">
        <v>3390</v>
      </c>
      <c r="B3502" s="1" t="str">
        <f>"20702058.2"</f>
        <v>20702058.2</v>
      </c>
      <c r="C3502" t="s">
        <v>3409</v>
      </c>
      <c r="D3502" t="s">
        <v>3452</v>
      </c>
      <c r="E3502" s="2"/>
      <c r="F3502"/>
      <c r="G3502" t="s">
        <v>80</v>
      </c>
      <c r="H3502" t="s">
        <v>218</v>
      </c>
      <c r="I3502"/>
    </row>
    <row r="3503" spans="1:9">
      <c r="A3503" t="s">
        <v>3390</v>
      </c>
      <c r="B3503" s="1" t="str">
        <f>"20524013"</f>
        <v>20524013</v>
      </c>
      <c r="C3503" t="s">
        <v>3409</v>
      </c>
      <c r="D3503" t="s">
        <v>3453</v>
      </c>
      <c r="E3503" s="2"/>
      <c r="F3503" t="s">
        <v>1421</v>
      </c>
      <c r="G3503" t="s">
        <v>80</v>
      </c>
      <c r="H3503" t="s">
        <v>80</v>
      </c>
      <c r="I3503"/>
    </row>
    <row r="3504" spans="1:9">
      <c r="A3504" t="s">
        <v>3390</v>
      </c>
      <c r="B3504" s="1" t="str">
        <f>"20524013.2"</f>
        <v>20524013.2</v>
      </c>
      <c r="C3504" t="s">
        <v>3409</v>
      </c>
      <c r="D3504" t="s">
        <v>3453</v>
      </c>
      <c r="E3504" s="2"/>
      <c r="F3504" t="s">
        <v>1421</v>
      </c>
      <c r="G3504" t="s">
        <v>80</v>
      </c>
      <c r="H3504" t="s">
        <v>218</v>
      </c>
      <c r="I3504"/>
    </row>
    <row r="3505" spans="1:9">
      <c r="A3505" t="s">
        <v>3390</v>
      </c>
      <c r="B3505" s="1" t="str">
        <f>"20702077"</f>
        <v>20702077</v>
      </c>
      <c r="C3505" t="s">
        <v>3409</v>
      </c>
      <c r="D3505" t="s">
        <v>3454</v>
      </c>
      <c r="E3505" s="2"/>
      <c r="F3505"/>
      <c r="G3505" t="s">
        <v>80</v>
      </c>
      <c r="H3505" t="s">
        <v>80</v>
      </c>
      <c r="I3505"/>
    </row>
    <row r="3506" spans="1:9">
      <c r="A3506" t="s">
        <v>3390</v>
      </c>
      <c r="B3506" s="1" t="str">
        <f>"20702077.2"</f>
        <v>20702077.2</v>
      </c>
      <c r="C3506" t="s">
        <v>3409</v>
      </c>
      <c r="D3506" t="s">
        <v>3454</v>
      </c>
      <c r="E3506" s="2"/>
      <c r="F3506"/>
      <c r="G3506" t="s">
        <v>80</v>
      </c>
      <c r="H3506" t="s">
        <v>218</v>
      </c>
      <c r="I3506"/>
    </row>
    <row r="3507" spans="1:9">
      <c r="A3507" t="s">
        <v>3390</v>
      </c>
      <c r="B3507" s="1" t="str">
        <f>"20710966"</f>
        <v>20710966</v>
      </c>
      <c r="C3507" t="s">
        <v>3409</v>
      </c>
      <c r="D3507" t="s">
        <v>3455</v>
      </c>
      <c r="E3507" s="2"/>
      <c r="F3507"/>
      <c r="G3507" t="s">
        <v>80</v>
      </c>
      <c r="H3507" t="s">
        <v>80</v>
      </c>
      <c r="I3507"/>
    </row>
    <row r="3508" spans="1:9">
      <c r="A3508" t="s">
        <v>3390</v>
      </c>
      <c r="B3508" s="1" t="str">
        <f>"20710966.2"</f>
        <v>20710966.2</v>
      </c>
      <c r="C3508" t="s">
        <v>3409</v>
      </c>
      <c r="D3508" t="s">
        <v>3455</v>
      </c>
      <c r="E3508" s="2"/>
      <c r="F3508"/>
      <c r="G3508" t="s">
        <v>80</v>
      </c>
      <c r="H3508" t="s">
        <v>218</v>
      </c>
      <c r="I3508"/>
    </row>
    <row r="3509" spans="1:9">
      <c r="A3509" t="s">
        <v>3390</v>
      </c>
      <c r="B3509" s="1" t="str">
        <f>"20702061"</f>
        <v>20702061</v>
      </c>
      <c r="C3509" t="s">
        <v>3409</v>
      </c>
      <c r="D3509" t="s">
        <v>3456</v>
      </c>
      <c r="E3509" s="2"/>
      <c r="F3509"/>
      <c r="G3509" t="s">
        <v>80</v>
      </c>
      <c r="H3509" t="s">
        <v>80</v>
      </c>
      <c r="I3509"/>
    </row>
    <row r="3510" spans="1:9">
      <c r="A3510" t="s">
        <v>3390</v>
      </c>
      <c r="B3510" s="1" t="str">
        <f>"20702061.2"</f>
        <v>20702061.2</v>
      </c>
      <c r="C3510" t="s">
        <v>3409</v>
      </c>
      <c r="D3510" t="s">
        <v>3456</v>
      </c>
      <c r="E3510" s="2"/>
      <c r="F3510"/>
      <c r="G3510" t="s">
        <v>80</v>
      </c>
      <c r="H3510" t="s">
        <v>218</v>
      </c>
      <c r="I3510"/>
    </row>
    <row r="3511" spans="1:9">
      <c r="A3511" t="s">
        <v>3390</v>
      </c>
      <c r="B3511" s="1" t="str">
        <f>"20702106"</f>
        <v>20702106</v>
      </c>
      <c r="C3511" t="s">
        <v>3409</v>
      </c>
      <c r="D3511" t="s">
        <v>3457</v>
      </c>
      <c r="E3511" s="2"/>
      <c r="F3511" t="s">
        <v>56</v>
      </c>
      <c r="G3511" t="s">
        <v>80</v>
      </c>
      <c r="H3511" t="s">
        <v>80</v>
      </c>
      <c r="I3511"/>
    </row>
    <row r="3512" spans="1:9">
      <c r="A3512" t="s">
        <v>3390</v>
      </c>
      <c r="B3512" s="1" t="str">
        <f>"20702106.2"</f>
        <v>20702106.2</v>
      </c>
      <c r="C3512" t="s">
        <v>3409</v>
      </c>
      <c r="D3512" t="s">
        <v>3457</v>
      </c>
      <c r="E3512" s="2"/>
      <c r="F3512" t="s">
        <v>56</v>
      </c>
      <c r="G3512" t="s">
        <v>80</v>
      </c>
      <c r="H3512" t="s">
        <v>218</v>
      </c>
      <c r="I3512"/>
    </row>
    <row r="3513" spans="1:9">
      <c r="A3513" t="s">
        <v>3390</v>
      </c>
      <c r="B3513" s="1" t="str">
        <f>"20702105"</f>
        <v>20702105</v>
      </c>
      <c r="C3513" t="s">
        <v>3409</v>
      </c>
      <c r="D3513" t="s">
        <v>3458</v>
      </c>
      <c r="E3513" s="2"/>
      <c r="F3513" t="s">
        <v>56</v>
      </c>
      <c r="G3513" t="s">
        <v>80</v>
      </c>
      <c r="H3513" t="s">
        <v>80</v>
      </c>
      <c r="I3513"/>
    </row>
    <row r="3514" spans="1:9">
      <c r="A3514" t="s">
        <v>3390</v>
      </c>
      <c r="B3514" s="1" t="str">
        <f>"20702105.2"</f>
        <v>20702105.2</v>
      </c>
      <c r="C3514" t="s">
        <v>3409</v>
      </c>
      <c r="D3514" t="s">
        <v>3458</v>
      </c>
      <c r="E3514" s="2"/>
      <c r="F3514" t="s">
        <v>56</v>
      </c>
      <c r="G3514" t="s">
        <v>80</v>
      </c>
      <c r="H3514" t="s">
        <v>218</v>
      </c>
      <c r="I3514"/>
    </row>
    <row r="3515" spans="1:9">
      <c r="A3515" t="s">
        <v>3390</v>
      </c>
      <c r="B3515" s="1" t="str">
        <f>"20702072"</f>
        <v>20702072</v>
      </c>
      <c r="C3515" t="s">
        <v>3409</v>
      </c>
      <c r="D3515" t="s">
        <v>3459</v>
      </c>
      <c r="E3515" s="2"/>
      <c r="F3515" t="s">
        <v>107</v>
      </c>
      <c r="G3515" t="s">
        <v>80</v>
      </c>
      <c r="H3515" t="s">
        <v>80</v>
      </c>
      <c r="I3515"/>
    </row>
    <row r="3516" spans="1:9">
      <c r="A3516" t="s">
        <v>3390</v>
      </c>
      <c r="B3516" s="1" t="str">
        <f>"20702072.2"</f>
        <v>20702072.2</v>
      </c>
      <c r="C3516" t="s">
        <v>3409</v>
      </c>
      <c r="D3516" t="s">
        <v>3459</v>
      </c>
      <c r="E3516" s="2"/>
      <c r="F3516" t="s">
        <v>107</v>
      </c>
      <c r="G3516" t="s">
        <v>80</v>
      </c>
      <c r="H3516" t="s">
        <v>218</v>
      </c>
      <c r="I3516"/>
    </row>
    <row r="3517" spans="1:9">
      <c r="A3517" t="s">
        <v>3390</v>
      </c>
      <c r="B3517" s="1" t="str">
        <f>"20710965"</f>
        <v>20710965</v>
      </c>
      <c r="C3517" t="s">
        <v>3409</v>
      </c>
      <c r="D3517" t="s">
        <v>3460</v>
      </c>
      <c r="E3517" s="2"/>
      <c r="F3517"/>
      <c r="G3517" t="s">
        <v>80</v>
      </c>
      <c r="H3517" t="s">
        <v>80</v>
      </c>
      <c r="I3517"/>
    </row>
    <row r="3518" spans="1:9">
      <c r="A3518" t="s">
        <v>3390</v>
      </c>
      <c r="B3518" s="1" t="str">
        <f>"20710965.2"</f>
        <v>20710965.2</v>
      </c>
      <c r="C3518" t="s">
        <v>3409</v>
      </c>
      <c r="D3518" t="s">
        <v>3460</v>
      </c>
      <c r="E3518" s="2"/>
      <c r="F3518"/>
      <c r="G3518" t="s">
        <v>80</v>
      </c>
      <c r="H3518" t="s">
        <v>218</v>
      </c>
      <c r="I3518"/>
    </row>
    <row r="3519" spans="1:9">
      <c r="A3519" t="s">
        <v>3390</v>
      </c>
      <c r="B3519" s="1" t="str">
        <f>"20702094"</f>
        <v>20702094</v>
      </c>
      <c r="C3519" t="s">
        <v>3409</v>
      </c>
      <c r="D3519" t="s">
        <v>3461</v>
      </c>
      <c r="E3519" s="2"/>
      <c r="F3519" t="s">
        <v>3462</v>
      </c>
      <c r="G3519" t="s">
        <v>80</v>
      </c>
      <c r="H3519" t="s">
        <v>80</v>
      </c>
      <c r="I3519"/>
    </row>
    <row r="3520" spans="1:9">
      <c r="A3520" t="s">
        <v>3390</v>
      </c>
      <c r="B3520" s="1" t="str">
        <f>"24895095"</f>
        <v>24895095</v>
      </c>
      <c r="C3520" t="s">
        <v>3409</v>
      </c>
      <c r="D3520" t="s">
        <v>3463</v>
      </c>
      <c r="E3520" s="2"/>
      <c r="F3520"/>
      <c r="G3520" t="s">
        <v>80</v>
      </c>
      <c r="H3520" t="s">
        <v>80</v>
      </c>
      <c r="I3520"/>
    </row>
    <row r="3521" spans="1:9">
      <c r="A3521" t="s">
        <v>3390</v>
      </c>
      <c r="B3521" s="1" t="str">
        <f>"24895095.2"</f>
        <v>24895095.2</v>
      </c>
      <c r="C3521" t="s">
        <v>3409</v>
      </c>
      <c r="D3521" t="s">
        <v>3463</v>
      </c>
      <c r="E3521" s="2"/>
      <c r="F3521"/>
      <c r="G3521" t="s">
        <v>80</v>
      </c>
      <c r="H3521" t="s">
        <v>218</v>
      </c>
      <c r="I3521"/>
    </row>
    <row r="3522" spans="1:9">
      <c r="A3522" t="s">
        <v>3390</v>
      </c>
      <c r="B3522" s="1" t="str">
        <f>"20093792"</f>
        <v>20093792</v>
      </c>
      <c r="C3522" t="s">
        <v>3409</v>
      </c>
      <c r="D3522" t="s">
        <v>3464</v>
      </c>
      <c r="E3522" s="2"/>
      <c r="F3522"/>
      <c r="G3522" t="s">
        <v>232</v>
      </c>
      <c r="H3522" t="s">
        <v>232</v>
      </c>
      <c r="I3522"/>
    </row>
    <row r="3523" spans="1:9">
      <c r="A3523" t="s">
        <v>3390</v>
      </c>
      <c r="B3523" s="1" t="str">
        <f>"20093792.2"</f>
        <v>20093792.2</v>
      </c>
      <c r="C3523" t="s">
        <v>3409</v>
      </c>
      <c r="D3523" t="s">
        <v>3464</v>
      </c>
      <c r="E3523" s="2"/>
      <c r="F3523"/>
      <c r="G3523" t="s">
        <v>232</v>
      </c>
      <c r="H3523" t="s">
        <v>218</v>
      </c>
      <c r="I3523"/>
    </row>
    <row r="3524" spans="1:9">
      <c r="A3524" t="s">
        <v>3390</v>
      </c>
      <c r="B3524" s="1" t="str">
        <f>"20505202"</f>
        <v>20505202</v>
      </c>
      <c r="C3524" t="s">
        <v>3409</v>
      </c>
      <c r="D3524" t="s">
        <v>3465</v>
      </c>
      <c r="E3524" s="2"/>
      <c r="F3524"/>
      <c r="G3524" t="s">
        <v>80</v>
      </c>
      <c r="H3524" t="s">
        <v>80</v>
      </c>
      <c r="I3524"/>
    </row>
    <row r="3525" spans="1:9">
      <c r="A3525" t="s">
        <v>3390</v>
      </c>
      <c r="B3525" s="1" t="str">
        <f>"20505202.2"</f>
        <v>20505202.2</v>
      </c>
      <c r="C3525" t="s">
        <v>3409</v>
      </c>
      <c r="D3525" t="s">
        <v>3465</v>
      </c>
      <c r="E3525" s="2"/>
      <c r="F3525"/>
      <c r="G3525" t="s">
        <v>80</v>
      </c>
      <c r="H3525" t="s">
        <v>218</v>
      </c>
      <c r="I3525"/>
    </row>
    <row r="3526" spans="1:9">
      <c r="A3526" t="s">
        <v>3390</v>
      </c>
      <c r="B3526" s="1" t="str">
        <f>"20702063"</f>
        <v>20702063</v>
      </c>
      <c r="C3526" t="s">
        <v>3409</v>
      </c>
      <c r="D3526" t="s">
        <v>3466</v>
      </c>
      <c r="E3526" s="2"/>
      <c r="F3526"/>
      <c r="G3526" t="s">
        <v>82</v>
      </c>
      <c r="H3526" t="s">
        <v>82</v>
      </c>
      <c r="I3526"/>
    </row>
    <row r="3527" spans="1:9">
      <c r="A3527" t="s">
        <v>3390</v>
      </c>
      <c r="B3527" s="1" t="str">
        <f>"20702063.2"</f>
        <v>20702063.2</v>
      </c>
      <c r="C3527" t="s">
        <v>3409</v>
      </c>
      <c r="D3527" t="s">
        <v>3466</v>
      </c>
      <c r="E3527" s="2"/>
      <c r="F3527"/>
      <c r="G3527" t="s">
        <v>82</v>
      </c>
      <c r="H3527" t="s">
        <v>218</v>
      </c>
      <c r="I3527"/>
    </row>
    <row r="3528" spans="1:9">
      <c r="A3528" t="s">
        <v>3390</v>
      </c>
      <c r="B3528" s="1" t="str">
        <f>"20524012"</f>
        <v>20524012</v>
      </c>
      <c r="C3528" t="s">
        <v>3409</v>
      </c>
      <c r="D3528" t="s">
        <v>3467</v>
      </c>
      <c r="E3528" s="2"/>
      <c r="F3528" t="s">
        <v>1247</v>
      </c>
      <c r="G3528" t="s">
        <v>80</v>
      </c>
      <c r="H3528" t="s">
        <v>80</v>
      </c>
      <c r="I3528"/>
    </row>
    <row r="3529" spans="1:9">
      <c r="A3529" t="s">
        <v>3390</v>
      </c>
      <c r="B3529" s="1" t="str">
        <f>"20524012.2"</f>
        <v>20524012.2</v>
      </c>
      <c r="C3529" t="s">
        <v>3409</v>
      </c>
      <c r="D3529" t="s">
        <v>3467</v>
      </c>
      <c r="E3529" s="2"/>
      <c r="F3529" t="s">
        <v>1247</v>
      </c>
      <c r="G3529" t="s">
        <v>80</v>
      </c>
      <c r="H3529" t="s">
        <v>218</v>
      </c>
      <c r="I3529"/>
    </row>
    <row r="3530" spans="1:9">
      <c r="A3530" t="s">
        <v>3390</v>
      </c>
      <c r="B3530" s="1" t="str">
        <f>"20524016"</f>
        <v>20524016</v>
      </c>
      <c r="C3530" t="s">
        <v>3409</v>
      </c>
      <c r="D3530" t="s">
        <v>3468</v>
      </c>
      <c r="E3530" s="2"/>
      <c r="F3530" t="s">
        <v>681</v>
      </c>
      <c r="G3530" t="s">
        <v>80</v>
      </c>
      <c r="H3530" t="s">
        <v>80</v>
      </c>
      <c r="I3530"/>
    </row>
    <row r="3531" spans="1:9">
      <c r="A3531" t="s">
        <v>3390</v>
      </c>
      <c r="B3531" s="1" t="str">
        <f>"20524016.2"</f>
        <v>20524016.2</v>
      </c>
      <c r="C3531" t="s">
        <v>3409</v>
      </c>
      <c r="D3531" t="s">
        <v>3468</v>
      </c>
      <c r="E3531" s="2"/>
      <c r="F3531" t="s">
        <v>681</v>
      </c>
      <c r="G3531" t="s">
        <v>80</v>
      </c>
      <c r="H3531" t="s">
        <v>218</v>
      </c>
      <c r="I3531"/>
    </row>
    <row r="3532" spans="1:9">
      <c r="A3532" t="s">
        <v>3390</v>
      </c>
      <c r="B3532" s="1" t="str">
        <f>"20702073"</f>
        <v>20702073</v>
      </c>
      <c r="C3532" t="s">
        <v>3409</v>
      </c>
      <c r="D3532" t="s">
        <v>3469</v>
      </c>
      <c r="E3532" s="2"/>
      <c r="F3532"/>
      <c r="G3532" t="s">
        <v>80</v>
      </c>
      <c r="H3532" t="s">
        <v>80</v>
      </c>
      <c r="I3532"/>
    </row>
    <row r="3533" spans="1:9">
      <c r="A3533" t="s">
        <v>3390</v>
      </c>
      <c r="B3533" s="1" t="str">
        <f>"20702073.2"</f>
        <v>20702073.2</v>
      </c>
      <c r="C3533" t="s">
        <v>3409</v>
      </c>
      <c r="D3533" t="s">
        <v>3469</v>
      </c>
      <c r="E3533" s="2"/>
      <c r="F3533"/>
      <c r="G3533" t="s">
        <v>80</v>
      </c>
      <c r="H3533" t="s">
        <v>218</v>
      </c>
      <c r="I3533"/>
    </row>
    <row r="3534" spans="1:9">
      <c r="A3534" t="s">
        <v>3390</v>
      </c>
      <c r="B3534" s="1" t="str">
        <f>"12650022"</f>
        <v>12650022</v>
      </c>
      <c r="C3534" t="s">
        <v>3470</v>
      </c>
      <c r="D3534" t="s">
        <v>3471</v>
      </c>
      <c r="E3534" s="2"/>
      <c r="F3534"/>
      <c r="G3534" t="s">
        <v>80</v>
      </c>
      <c r="H3534" t="s">
        <v>80</v>
      </c>
      <c r="I3534"/>
    </row>
    <row r="3535" spans="1:9">
      <c r="A3535" t="s">
        <v>3472</v>
      </c>
      <c r="B3535" s="1" t="str">
        <f>"20045357"</f>
        <v>20045357</v>
      </c>
      <c r="C3535" t="s">
        <v>3473</v>
      </c>
      <c r="D3535" t="s">
        <v>3474</v>
      </c>
      <c r="E3535" s="2"/>
      <c r="F3535" t="s">
        <v>90</v>
      </c>
      <c r="G3535" t="s">
        <v>58</v>
      </c>
      <c r="H3535" t="s">
        <v>58</v>
      </c>
      <c r="I3535"/>
    </row>
    <row r="3536" spans="1:9">
      <c r="A3536" t="s">
        <v>3472</v>
      </c>
      <c r="B3536" s="1" t="str">
        <f>"20702055"</f>
        <v>20702055</v>
      </c>
      <c r="C3536" t="s">
        <v>3409</v>
      </c>
      <c r="D3536" t="s">
        <v>3475</v>
      </c>
      <c r="E3536" s="2"/>
      <c r="F3536" t="s">
        <v>90</v>
      </c>
      <c r="G3536" t="s">
        <v>287</v>
      </c>
      <c r="H3536" t="s">
        <v>287</v>
      </c>
      <c r="I3536"/>
    </row>
    <row r="3537" spans="1:9">
      <c r="A3537" t="s">
        <v>3472</v>
      </c>
      <c r="B3537" s="1" t="str">
        <f>"20702052"</f>
        <v>20702052</v>
      </c>
      <c r="C3537" t="s">
        <v>3409</v>
      </c>
      <c r="D3537" t="s">
        <v>3476</v>
      </c>
      <c r="E3537" s="2"/>
      <c r="F3537" t="s">
        <v>90</v>
      </c>
      <c r="G3537" t="s">
        <v>287</v>
      </c>
      <c r="H3537" t="s">
        <v>287</v>
      </c>
      <c r="I3537"/>
    </row>
    <row r="3538" spans="1:9">
      <c r="A3538" t="s">
        <v>3472</v>
      </c>
      <c r="B3538" s="1" t="str">
        <f>"20702053"</f>
        <v>20702053</v>
      </c>
      <c r="C3538" t="s">
        <v>3409</v>
      </c>
      <c r="D3538" t="s">
        <v>3477</v>
      </c>
      <c r="E3538" s="2"/>
      <c r="F3538" t="s">
        <v>90</v>
      </c>
      <c r="G3538" t="s">
        <v>287</v>
      </c>
      <c r="H3538" t="s">
        <v>287</v>
      </c>
      <c r="I3538"/>
    </row>
    <row r="3539" spans="1:9">
      <c r="A3539" t="s">
        <v>3472</v>
      </c>
      <c r="B3539" s="1" t="str">
        <f>"20702054"</f>
        <v>20702054</v>
      </c>
      <c r="C3539" t="s">
        <v>3409</v>
      </c>
      <c r="D3539" t="s">
        <v>3478</v>
      </c>
      <c r="E3539" s="2"/>
      <c r="F3539" t="s">
        <v>90</v>
      </c>
      <c r="G3539" t="s">
        <v>287</v>
      </c>
      <c r="H3539" t="s">
        <v>287</v>
      </c>
      <c r="I3539"/>
    </row>
    <row r="3540" spans="1:9">
      <c r="A3540" t="s">
        <v>3472</v>
      </c>
      <c r="B3540" s="1" t="str">
        <f>"20702057"</f>
        <v>20702057</v>
      </c>
      <c r="C3540" t="s">
        <v>3409</v>
      </c>
      <c r="D3540" t="s">
        <v>3479</v>
      </c>
      <c r="E3540" s="2"/>
      <c r="F3540" t="s">
        <v>90</v>
      </c>
      <c r="G3540" t="s">
        <v>287</v>
      </c>
      <c r="H3540" t="s">
        <v>287</v>
      </c>
      <c r="I3540"/>
    </row>
    <row r="3541" spans="1:9">
      <c r="A3541" t="s">
        <v>3472</v>
      </c>
      <c r="B3541" s="1" t="str">
        <f>"20506377"</f>
        <v>20506377</v>
      </c>
      <c r="C3541" t="s">
        <v>3409</v>
      </c>
      <c r="D3541" t="s">
        <v>3480</v>
      </c>
      <c r="E3541" s="2"/>
      <c r="F3541" t="s">
        <v>22</v>
      </c>
      <c r="G3541" t="s">
        <v>13</v>
      </c>
      <c r="H3541" t="s">
        <v>13</v>
      </c>
      <c r="I3541"/>
    </row>
    <row r="3542" spans="1:9">
      <c r="A3542" t="s">
        <v>3472</v>
      </c>
      <c r="B3542" s="1" t="str">
        <f>"20506377.2"</f>
        <v>20506377.2</v>
      </c>
      <c r="C3542" t="s">
        <v>3409</v>
      </c>
      <c r="D3542" t="s">
        <v>3480</v>
      </c>
      <c r="E3542" s="2"/>
      <c r="F3542" t="s">
        <v>22</v>
      </c>
      <c r="G3542" t="s">
        <v>13</v>
      </c>
      <c r="H3542" t="s">
        <v>218</v>
      </c>
      <c r="I3542"/>
    </row>
    <row r="3543" spans="1:9">
      <c r="A3543" t="s">
        <v>3472</v>
      </c>
      <c r="B3543" s="1" t="str">
        <f>"12648971"</f>
        <v>12648971</v>
      </c>
      <c r="C3543" t="s">
        <v>3470</v>
      </c>
      <c r="D3543" t="s">
        <v>3477</v>
      </c>
      <c r="E3543" s="2"/>
      <c r="F3543" t="s">
        <v>68</v>
      </c>
      <c r="G3543" t="s">
        <v>122</v>
      </c>
      <c r="H3543" t="s">
        <v>122</v>
      </c>
      <c r="I3543"/>
    </row>
    <row r="3544" spans="1:9">
      <c r="A3544" t="s">
        <v>3472</v>
      </c>
      <c r="B3544" s="1" t="str">
        <f>"12650021"</f>
        <v>12650021</v>
      </c>
      <c r="C3544" t="s">
        <v>3470</v>
      </c>
      <c r="D3544" t="s">
        <v>3481</v>
      </c>
      <c r="E3544" s="2"/>
      <c r="F3544" t="s">
        <v>68</v>
      </c>
      <c r="G3544" t="s">
        <v>122</v>
      </c>
      <c r="H3544" t="s">
        <v>122</v>
      </c>
      <c r="I3544"/>
    </row>
    <row r="3545" spans="1:9">
      <c r="A3545" t="s">
        <v>3482</v>
      </c>
      <c r="B3545" s="1" t="str">
        <f>"12013190"</f>
        <v>12013190</v>
      </c>
      <c r="C3545" t="s">
        <v>3483</v>
      </c>
      <c r="D3545" t="s">
        <v>3484</v>
      </c>
      <c r="E3545" s="2">
        <v>0.13</v>
      </c>
      <c r="F3545" t="s">
        <v>2947</v>
      </c>
      <c r="G3545"/>
      <c r="H3545" t="s">
        <v>3485</v>
      </c>
      <c r="I3545"/>
    </row>
    <row r="3546" spans="1:9">
      <c r="A3546" t="s">
        <v>3482</v>
      </c>
      <c r="B3546" s="1" t="str">
        <f>"12013191"</f>
        <v>12013191</v>
      </c>
      <c r="C3546" t="s">
        <v>3483</v>
      </c>
      <c r="D3546" t="s">
        <v>3484</v>
      </c>
      <c r="E3546" s="2">
        <v>0.13</v>
      </c>
      <c r="F3546" t="s">
        <v>239</v>
      </c>
      <c r="G3546"/>
      <c r="H3546" t="s">
        <v>2780</v>
      </c>
      <c r="I3546"/>
    </row>
    <row r="3547" spans="1:9">
      <c r="A3547" t="s">
        <v>3482</v>
      </c>
      <c r="B3547" s="1" t="str">
        <f>"12013192"</f>
        <v>12013192</v>
      </c>
      <c r="C3547" t="s">
        <v>3486</v>
      </c>
      <c r="D3547" t="s">
        <v>3487</v>
      </c>
      <c r="E3547" s="2">
        <v>0.125</v>
      </c>
      <c r="F3547" t="s">
        <v>239</v>
      </c>
      <c r="G3547"/>
      <c r="H3547" t="s">
        <v>2780</v>
      </c>
      <c r="I3547"/>
    </row>
    <row r="3548" spans="1:9">
      <c r="A3548" t="s">
        <v>3488</v>
      </c>
      <c r="B3548" s="1" t="str">
        <f>"12013189"</f>
        <v>12013189</v>
      </c>
      <c r="C3548" t="s">
        <v>3489</v>
      </c>
      <c r="D3548" t="s">
        <v>3490</v>
      </c>
      <c r="E3548" s="2">
        <v>0.12</v>
      </c>
      <c r="F3548" t="s">
        <v>239</v>
      </c>
      <c r="G3548"/>
      <c r="H3548" t="s">
        <v>2999</v>
      </c>
      <c r="I3548"/>
    </row>
    <row r="3549" spans="1:9">
      <c r="A3549" t="s">
        <v>3488</v>
      </c>
      <c r="B3549" s="1" t="str">
        <f>"12013507"</f>
        <v>12013507</v>
      </c>
      <c r="C3549" t="s">
        <v>260</v>
      </c>
      <c r="D3549" t="s">
        <v>3491</v>
      </c>
      <c r="E3549" s="2">
        <v>0.13</v>
      </c>
      <c r="F3549" t="s">
        <v>239</v>
      </c>
      <c r="G3549" t="s">
        <v>25</v>
      </c>
      <c r="H3549" t="s">
        <v>25</v>
      </c>
      <c r="I3549"/>
    </row>
    <row r="3550" spans="1:9">
      <c r="A3550" t="s">
        <v>3488</v>
      </c>
      <c r="B3550" s="1" t="str">
        <f>"12013097"</f>
        <v>12013097</v>
      </c>
      <c r="C3550" t="s">
        <v>3492</v>
      </c>
      <c r="D3550" t="s">
        <v>3493</v>
      </c>
      <c r="E3550" s="2"/>
      <c r="F3550" t="s">
        <v>239</v>
      </c>
      <c r="G3550" t="s">
        <v>25</v>
      </c>
      <c r="H3550" t="s">
        <v>332</v>
      </c>
      <c r="I3550"/>
    </row>
    <row r="3551" spans="1:9">
      <c r="A3551" t="s">
        <v>3488</v>
      </c>
      <c r="B3551" s="1" t="str">
        <f>"20099459"</f>
        <v>20099459</v>
      </c>
      <c r="C3551" t="s">
        <v>3492</v>
      </c>
      <c r="D3551" t="s">
        <v>3494</v>
      </c>
      <c r="E3551" s="2"/>
      <c r="F3551" t="s">
        <v>12</v>
      </c>
      <c r="G3551" t="s">
        <v>25</v>
      </c>
      <c r="H3551" t="s">
        <v>25</v>
      </c>
      <c r="I3551"/>
    </row>
    <row r="3552" spans="1:9">
      <c r="A3552" t="s">
        <v>3488</v>
      </c>
      <c r="B3552" s="1" t="str">
        <f>"12192610"</f>
        <v>12192610</v>
      </c>
      <c r="C3552" t="s">
        <v>3492</v>
      </c>
      <c r="D3552" t="s">
        <v>3495</v>
      </c>
      <c r="E3552" s="2">
        <v>0.13</v>
      </c>
      <c r="F3552" t="s">
        <v>239</v>
      </c>
      <c r="G3552" t="s">
        <v>25</v>
      </c>
      <c r="H3552" t="s">
        <v>332</v>
      </c>
      <c r="I3552"/>
    </row>
    <row r="3553" spans="1:9">
      <c r="A3553" t="s">
        <v>3488</v>
      </c>
      <c r="B3553" s="1" t="str">
        <f>"12013098"</f>
        <v>12013098</v>
      </c>
      <c r="C3553" t="s">
        <v>3492</v>
      </c>
      <c r="D3553" t="s">
        <v>3496</v>
      </c>
      <c r="E3553" s="2"/>
      <c r="F3553" t="s">
        <v>239</v>
      </c>
      <c r="G3553" t="s">
        <v>25</v>
      </c>
      <c r="H3553" t="s">
        <v>25</v>
      </c>
      <c r="I3553"/>
    </row>
    <row r="3554" spans="1:9">
      <c r="A3554" t="s">
        <v>3488</v>
      </c>
      <c r="B3554" s="1" t="str">
        <f>"12191301"</f>
        <v>12191301</v>
      </c>
      <c r="C3554" t="s">
        <v>3497</v>
      </c>
      <c r="D3554" t="s">
        <v>3498</v>
      </c>
      <c r="E3554" s="2">
        <v>0.135</v>
      </c>
      <c r="F3554" t="s">
        <v>239</v>
      </c>
      <c r="G3554" t="s">
        <v>25</v>
      </c>
      <c r="H3554" t="s">
        <v>25</v>
      </c>
      <c r="I3554"/>
    </row>
    <row r="3555" spans="1:9">
      <c r="A3555" t="s">
        <v>3488</v>
      </c>
      <c r="B3555" s="1" t="str">
        <f>"12013479"</f>
        <v>12013479</v>
      </c>
      <c r="C3555" t="s">
        <v>3497</v>
      </c>
      <c r="D3555" t="s">
        <v>3499</v>
      </c>
      <c r="E3555" s="2"/>
      <c r="F3555" t="s">
        <v>239</v>
      </c>
      <c r="G3555" t="s">
        <v>25</v>
      </c>
      <c r="H3555" t="s">
        <v>25</v>
      </c>
      <c r="I3555"/>
    </row>
    <row r="3556" spans="1:9">
      <c r="A3556" t="s">
        <v>3488</v>
      </c>
      <c r="B3556" s="1" t="str">
        <f>"12013536"</f>
        <v>12013536</v>
      </c>
      <c r="C3556" t="s">
        <v>3497</v>
      </c>
      <c r="D3556" t="s">
        <v>3500</v>
      </c>
      <c r="E3556" s="2"/>
      <c r="F3556" t="s">
        <v>239</v>
      </c>
      <c r="G3556" t="s">
        <v>25</v>
      </c>
      <c r="H3556" t="s">
        <v>25</v>
      </c>
      <c r="I3556"/>
    </row>
    <row r="3557" spans="1:9">
      <c r="A3557" t="s">
        <v>3488</v>
      </c>
      <c r="B3557" s="1" t="str">
        <f>"12192571"</f>
        <v>12192571</v>
      </c>
      <c r="C3557" t="s">
        <v>3501</v>
      </c>
      <c r="D3557" t="s">
        <v>3502</v>
      </c>
      <c r="E3557" s="2">
        <v>0.135</v>
      </c>
      <c r="F3557" t="s">
        <v>239</v>
      </c>
      <c r="G3557" t="s">
        <v>25</v>
      </c>
      <c r="H3557" t="s">
        <v>25</v>
      </c>
      <c r="I3557"/>
    </row>
    <row r="3558" spans="1:9">
      <c r="A3558" t="s">
        <v>3488</v>
      </c>
      <c r="B3558" s="1" t="str">
        <f>"12013146"</f>
        <v>12013146</v>
      </c>
      <c r="C3558" t="s">
        <v>3501</v>
      </c>
      <c r="D3558" t="s">
        <v>3503</v>
      </c>
      <c r="E3558" s="2">
        <v>0.125</v>
      </c>
      <c r="F3558" t="s">
        <v>239</v>
      </c>
      <c r="G3558" t="s">
        <v>25</v>
      </c>
      <c r="H3558" t="s">
        <v>25</v>
      </c>
      <c r="I3558"/>
    </row>
    <row r="3559" spans="1:9">
      <c r="A3559" t="s">
        <v>3488</v>
      </c>
      <c r="B3559" s="1" t="str">
        <f>"12020005"</f>
        <v>12020005</v>
      </c>
      <c r="C3559" t="s">
        <v>3501</v>
      </c>
      <c r="D3559" t="s">
        <v>3504</v>
      </c>
      <c r="E3559" s="2">
        <v>0.125</v>
      </c>
      <c r="F3559" t="s">
        <v>239</v>
      </c>
      <c r="G3559" t="s">
        <v>25</v>
      </c>
      <c r="H3559" t="s">
        <v>25</v>
      </c>
      <c r="I3559"/>
    </row>
    <row r="3560" spans="1:9">
      <c r="A3560" t="s">
        <v>3488</v>
      </c>
      <c r="B3560" s="1" t="str">
        <f>"12049134"</f>
        <v>12049134</v>
      </c>
      <c r="C3560" t="s">
        <v>3501</v>
      </c>
      <c r="D3560" t="s">
        <v>3505</v>
      </c>
      <c r="E3560" s="2"/>
      <c r="F3560" t="s">
        <v>239</v>
      </c>
      <c r="G3560" t="s">
        <v>25</v>
      </c>
      <c r="H3560" t="s">
        <v>25</v>
      </c>
      <c r="I3560"/>
    </row>
    <row r="3561" spans="1:9">
      <c r="A3561" t="s">
        <v>3488</v>
      </c>
      <c r="B3561" s="1" t="str">
        <f>"12192569"</f>
        <v>12192569</v>
      </c>
      <c r="C3561" t="s">
        <v>3501</v>
      </c>
      <c r="D3561" t="s">
        <v>3506</v>
      </c>
      <c r="E3561" s="2">
        <v>0.13</v>
      </c>
      <c r="F3561" t="s">
        <v>239</v>
      </c>
      <c r="G3561" t="s">
        <v>25</v>
      </c>
      <c r="H3561" t="s">
        <v>25</v>
      </c>
      <c r="I3561"/>
    </row>
    <row r="3562" spans="1:9">
      <c r="A3562" t="s">
        <v>3488</v>
      </c>
      <c r="B3562" s="1" t="str">
        <f>"12023015"</f>
        <v>12023015</v>
      </c>
      <c r="C3562" t="s">
        <v>3501</v>
      </c>
      <c r="D3562" t="s">
        <v>3507</v>
      </c>
      <c r="E3562" s="2">
        <v>0.125</v>
      </c>
      <c r="F3562" t="s">
        <v>239</v>
      </c>
      <c r="G3562"/>
      <c r="H3562" t="s">
        <v>360</v>
      </c>
      <c r="I3562"/>
    </row>
    <row r="3563" spans="1:9">
      <c r="A3563" t="s">
        <v>3488</v>
      </c>
      <c r="B3563" s="1" t="str">
        <f>"12020007"</f>
        <v>12020007</v>
      </c>
      <c r="C3563" t="s">
        <v>3501</v>
      </c>
      <c r="D3563" t="s">
        <v>3508</v>
      </c>
      <c r="E3563" s="2">
        <v>0.125</v>
      </c>
      <c r="F3563" t="s">
        <v>239</v>
      </c>
      <c r="G3563" t="s">
        <v>25</v>
      </c>
      <c r="H3563" t="s">
        <v>25</v>
      </c>
      <c r="I3563"/>
    </row>
    <row r="3564" spans="1:9">
      <c r="A3564" t="s">
        <v>3488</v>
      </c>
      <c r="B3564" s="1" t="str">
        <f>"12013451"</f>
        <v>12013451</v>
      </c>
      <c r="C3564" t="s">
        <v>3501</v>
      </c>
      <c r="D3564" t="s">
        <v>3509</v>
      </c>
      <c r="E3564" s="2">
        <v>0.14</v>
      </c>
      <c r="F3564" t="s">
        <v>239</v>
      </c>
      <c r="G3564" t="s">
        <v>29</v>
      </c>
      <c r="H3564" t="s">
        <v>25</v>
      </c>
      <c r="I3564"/>
    </row>
    <row r="3565" spans="1:9">
      <c r="A3565" t="s">
        <v>3488</v>
      </c>
      <c r="B3565" s="1" t="str">
        <f>"12192504"</f>
        <v>12192504</v>
      </c>
      <c r="C3565" t="s">
        <v>3489</v>
      </c>
      <c r="D3565" t="s">
        <v>3510</v>
      </c>
      <c r="E3565" s="2">
        <v>0.06</v>
      </c>
      <c r="F3565" t="s">
        <v>3511</v>
      </c>
      <c r="G3565" t="s">
        <v>25</v>
      </c>
      <c r="H3565" t="s">
        <v>332</v>
      </c>
      <c r="I3565"/>
    </row>
    <row r="3566" spans="1:9">
      <c r="A3566" t="s">
        <v>3488</v>
      </c>
      <c r="B3566" s="1" t="str">
        <f>"22946034"</f>
        <v>22946034</v>
      </c>
      <c r="C3566" t="s">
        <v>3489</v>
      </c>
      <c r="D3566" t="s">
        <v>3512</v>
      </c>
      <c r="E3566" s="2"/>
      <c r="F3566" t="s">
        <v>239</v>
      </c>
      <c r="G3566" t="s">
        <v>25</v>
      </c>
      <c r="H3566" t="s">
        <v>25</v>
      </c>
      <c r="I3566"/>
    </row>
    <row r="3567" spans="1:9">
      <c r="A3567" t="s">
        <v>3488</v>
      </c>
      <c r="B3567" s="1" t="str">
        <f>"20041168"</f>
        <v>20041168</v>
      </c>
      <c r="C3567" t="s">
        <v>3489</v>
      </c>
      <c r="D3567" t="s">
        <v>3513</v>
      </c>
      <c r="E3567" s="2"/>
      <c r="F3567" t="s">
        <v>12</v>
      </c>
      <c r="G3567" t="s">
        <v>25</v>
      </c>
      <c r="H3567" t="s">
        <v>25</v>
      </c>
      <c r="I3567"/>
    </row>
    <row r="3568" spans="1:9">
      <c r="A3568" t="s">
        <v>3488</v>
      </c>
      <c r="B3568" s="1" t="str">
        <f>"12013147"</f>
        <v>12013147</v>
      </c>
      <c r="C3568" t="s">
        <v>3489</v>
      </c>
      <c r="D3568" t="s">
        <v>3514</v>
      </c>
      <c r="E3568" s="2">
        <v>0.12</v>
      </c>
      <c r="F3568" t="s">
        <v>239</v>
      </c>
      <c r="G3568" t="s">
        <v>25</v>
      </c>
      <c r="H3568" t="s">
        <v>25</v>
      </c>
      <c r="I3568"/>
    </row>
    <row r="3569" spans="1:9">
      <c r="A3569" t="s">
        <v>3488</v>
      </c>
      <c r="B3569" s="1" t="str">
        <f>"12013148"</f>
        <v>12013148</v>
      </c>
      <c r="C3569" t="s">
        <v>3489</v>
      </c>
      <c r="D3569" t="s">
        <v>3515</v>
      </c>
      <c r="E3569" s="2">
        <v>0.1</v>
      </c>
      <c r="F3569" t="s">
        <v>239</v>
      </c>
      <c r="G3569" t="s">
        <v>25</v>
      </c>
      <c r="H3569" t="s">
        <v>332</v>
      </c>
      <c r="I3569"/>
    </row>
    <row r="3570" spans="1:9">
      <c r="A3570" t="s">
        <v>3488</v>
      </c>
      <c r="B3570" s="1" t="str">
        <f>"12693972"</f>
        <v>12693972</v>
      </c>
      <c r="C3570" t="s">
        <v>3489</v>
      </c>
      <c r="D3570" t="s">
        <v>3516</v>
      </c>
      <c r="E3570" s="2">
        <v>0.09</v>
      </c>
      <c r="F3570" t="s">
        <v>24</v>
      </c>
      <c r="G3570" t="s">
        <v>29</v>
      </c>
      <c r="H3570" t="s">
        <v>332</v>
      </c>
      <c r="I3570"/>
    </row>
    <row r="3571" spans="1:9">
      <c r="A3571" t="s">
        <v>3488</v>
      </c>
      <c r="B3571" s="1" t="str">
        <f>"12013058"</f>
        <v>12013058</v>
      </c>
      <c r="C3571" t="s">
        <v>3489</v>
      </c>
      <c r="D3571" t="s">
        <v>3517</v>
      </c>
      <c r="E3571" s="2">
        <v>0.1</v>
      </c>
      <c r="F3571" t="s">
        <v>239</v>
      </c>
      <c r="G3571" t="s">
        <v>25</v>
      </c>
      <c r="H3571" t="s">
        <v>25</v>
      </c>
      <c r="I3571"/>
    </row>
    <row r="3572" spans="1:9">
      <c r="A3572" t="s">
        <v>3488</v>
      </c>
      <c r="B3572" s="1" t="str">
        <f>"12859250"</f>
        <v>12859250</v>
      </c>
      <c r="C3572" t="s">
        <v>3489</v>
      </c>
      <c r="D3572" t="s">
        <v>3518</v>
      </c>
      <c r="E3572" s="2">
        <v>0.13</v>
      </c>
      <c r="F3572" t="s">
        <v>239</v>
      </c>
      <c r="G3572"/>
      <c r="H3572" t="s">
        <v>332</v>
      </c>
      <c r="I3572"/>
    </row>
    <row r="3573" spans="1:9">
      <c r="A3573" t="s">
        <v>3488</v>
      </c>
      <c r="B3573" s="1" t="str">
        <f>"12859249"</f>
        <v>12859249</v>
      </c>
      <c r="C3573" t="s">
        <v>3489</v>
      </c>
      <c r="D3573" t="s">
        <v>3519</v>
      </c>
      <c r="E3573" s="2">
        <v>0.11</v>
      </c>
      <c r="F3573" t="s">
        <v>239</v>
      </c>
      <c r="G3573"/>
      <c r="H3573" t="s">
        <v>25</v>
      </c>
      <c r="I3573"/>
    </row>
    <row r="3574" spans="1:9">
      <c r="A3574" t="s">
        <v>3488</v>
      </c>
      <c r="B3574" s="1" t="str">
        <f>"12859240"</f>
        <v>12859240</v>
      </c>
      <c r="C3574" t="s">
        <v>3489</v>
      </c>
      <c r="D3574" t="s">
        <v>3520</v>
      </c>
      <c r="E3574" s="2"/>
      <c r="F3574" t="s">
        <v>239</v>
      </c>
      <c r="G3574" t="s">
        <v>25</v>
      </c>
      <c r="H3574" t="s">
        <v>332</v>
      </c>
      <c r="I3574"/>
    </row>
    <row r="3575" spans="1:9">
      <c r="A3575" t="s">
        <v>3488</v>
      </c>
      <c r="B3575" s="1" t="str">
        <f>"12500115"</f>
        <v>12500115</v>
      </c>
      <c r="C3575" t="s">
        <v>3489</v>
      </c>
      <c r="D3575" t="s">
        <v>3521</v>
      </c>
      <c r="E3575" s="2"/>
      <c r="F3575" t="s">
        <v>239</v>
      </c>
      <c r="G3575" t="s">
        <v>25</v>
      </c>
      <c r="H3575" t="s">
        <v>332</v>
      </c>
      <c r="I3575"/>
    </row>
    <row r="3576" spans="1:9">
      <c r="A3576" t="s">
        <v>3488</v>
      </c>
      <c r="B3576" s="1" t="str">
        <f>"12859243"</f>
        <v>12859243</v>
      </c>
      <c r="C3576" t="s">
        <v>3489</v>
      </c>
      <c r="D3576" t="s">
        <v>3522</v>
      </c>
      <c r="E3576" s="2"/>
      <c r="F3576" t="s">
        <v>239</v>
      </c>
      <c r="G3576" t="s">
        <v>25</v>
      </c>
      <c r="H3576" t="s">
        <v>332</v>
      </c>
      <c r="I3576"/>
    </row>
    <row r="3577" spans="1:9">
      <c r="A3577" t="s">
        <v>3488</v>
      </c>
      <c r="B3577" s="1" t="str">
        <f>"12859242"</f>
        <v>12859242</v>
      </c>
      <c r="C3577" t="s">
        <v>3489</v>
      </c>
      <c r="D3577" t="s">
        <v>3523</v>
      </c>
      <c r="E3577" s="2"/>
      <c r="F3577" t="s">
        <v>239</v>
      </c>
      <c r="G3577" t="s">
        <v>25</v>
      </c>
      <c r="H3577" t="s">
        <v>332</v>
      </c>
      <c r="I3577"/>
    </row>
    <row r="3578" spans="1:9">
      <c r="A3578" t="s">
        <v>3488</v>
      </c>
      <c r="B3578" s="1" t="str">
        <f>"12859248"</f>
        <v>12859248</v>
      </c>
      <c r="C3578" t="s">
        <v>3489</v>
      </c>
      <c r="D3578"/>
      <c r="E3578" s="2">
        <v>0.135</v>
      </c>
      <c r="F3578" t="s">
        <v>239</v>
      </c>
      <c r="G3578"/>
      <c r="H3578" t="s">
        <v>332</v>
      </c>
      <c r="I3578"/>
    </row>
    <row r="3579" spans="1:9">
      <c r="A3579" t="s">
        <v>3488</v>
      </c>
      <c r="B3579" s="1" t="str">
        <f>"12500124"</f>
        <v>12500124</v>
      </c>
      <c r="C3579" t="s">
        <v>3489</v>
      </c>
      <c r="D3579" t="s">
        <v>3524</v>
      </c>
      <c r="E3579" s="2">
        <v>0.115</v>
      </c>
      <c r="F3579" t="s">
        <v>239</v>
      </c>
      <c r="G3579" t="s">
        <v>25</v>
      </c>
      <c r="H3579" t="s">
        <v>332</v>
      </c>
      <c r="I3579"/>
    </row>
    <row r="3580" spans="1:9">
      <c r="A3580" t="s">
        <v>3488</v>
      </c>
      <c r="B3580" s="1" t="str">
        <f>"12063506"</f>
        <v>12063506</v>
      </c>
      <c r="C3580" t="s">
        <v>3489</v>
      </c>
      <c r="D3580" t="s">
        <v>3525</v>
      </c>
      <c r="E3580" s="2">
        <v>0.121</v>
      </c>
      <c r="F3580" t="s">
        <v>239</v>
      </c>
      <c r="G3580" t="s">
        <v>25</v>
      </c>
      <c r="H3580" t="s">
        <v>332</v>
      </c>
      <c r="I3580"/>
    </row>
    <row r="3581" spans="1:9">
      <c r="A3581" t="s">
        <v>3488</v>
      </c>
      <c r="B3581" s="1" t="str">
        <f>"12859251"</f>
        <v>12859251</v>
      </c>
      <c r="C3581" t="s">
        <v>3489</v>
      </c>
      <c r="D3581" t="s">
        <v>3526</v>
      </c>
      <c r="E3581" s="2">
        <v>0.13</v>
      </c>
      <c r="F3581" t="s">
        <v>239</v>
      </c>
      <c r="G3581"/>
      <c r="H3581" t="s">
        <v>332</v>
      </c>
      <c r="I3581"/>
    </row>
    <row r="3582" spans="1:9">
      <c r="A3582" t="s">
        <v>3488</v>
      </c>
      <c r="B3582" s="1" t="str">
        <f>"12859241"</f>
        <v>12859241</v>
      </c>
      <c r="C3582" t="s">
        <v>3489</v>
      </c>
      <c r="D3582" t="s">
        <v>3527</v>
      </c>
      <c r="E3582" s="2"/>
      <c r="F3582" t="s">
        <v>239</v>
      </c>
      <c r="G3582" t="s">
        <v>25</v>
      </c>
      <c r="H3582" t="s">
        <v>332</v>
      </c>
      <c r="I3582"/>
    </row>
    <row r="3583" spans="1:9">
      <c r="A3583" t="s">
        <v>3488</v>
      </c>
      <c r="B3583" s="1" t="str">
        <f>"12286130"</f>
        <v>12286130</v>
      </c>
      <c r="C3583" t="s">
        <v>3489</v>
      </c>
      <c r="D3583" t="s">
        <v>3528</v>
      </c>
      <c r="E3583" s="2">
        <v>0.08</v>
      </c>
      <c r="F3583" t="s">
        <v>239</v>
      </c>
      <c r="G3583" t="s">
        <v>25</v>
      </c>
      <c r="H3583" t="s">
        <v>332</v>
      </c>
      <c r="I3583"/>
    </row>
    <row r="3584" spans="1:9">
      <c r="A3584" t="s">
        <v>3488</v>
      </c>
      <c r="B3584" s="1" t="str">
        <f>"12192573"</f>
        <v>12192573</v>
      </c>
      <c r="C3584" t="s">
        <v>3489</v>
      </c>
      <c r="D3584" t="s">
        <v>3529</v>
      </c>
      <c r="E3584" s="2">
        <v>0.12</v>
      </c>
      <c r="F3584" t="s">
        <v>239</v>
      </c>
      <c r="G3584" t="s">
        <v>25</v>
      </c>
      <c r="H3584" t="s">
        <v>25</v>
      </c>
      <c r="I3584"/>
    </row>
    <row r="3585" spans="1:9">
      <c r="A3585" t="s">
        <v>3488</v>
      </c>
      <c r="B3585" s="1" t="str">
        <f>"12021053"</f>
        <v>12021053</v>
      </c>
      <c r="C3585" t="s">
        <v>3489</v>
      </c>
      <c r="D3585" t="s">
        <v>3530</v>
      </c>
      <c r="E3585" s="2">
        <v>0.085</v>
      </c>
      <c r="F3585" t="s">
        <v>239</v>
      </c>
      <c r="G3585" t="s">
        <v>2780</v>
      </c>
      <c r="H3585" t="s">
        <v>332</v>
      </c>
      <c r="I3585"/>
    </row>
    <row r="3586" spans="1:9">
      <c r="A3586" t="s">
        <v>3488</v>
      </c>
      <c r="B3586" s="1" t="str">
        <f>"20138479"</f>
        <v>20138479</v>
      </c>
      <c r="C3586" t="s">
        <v>3489</v>
      </c>
      <c r="D3586" t="s">
        <v>3531</v>
      </c>
      <c r="E3586" s="2"/>
      <c r="F3586" t="s">
        <v>239</v>
      </c>
      <c r="G3586" t="s">
        <v>25</v>
      </c>
      <c r="H3586" t="s">
        <v>25</v>
      </c>
      <c r="I3586"/>
    </row>
    <row r="3587" spans="1:9">
      <c r="A3587" t="s">
        <v>3488</v>
      </c>
      <c r="B3587" s="1" t="str">
        <f>"12023038"</f>
        <v>12023038</v>
      </c>
      <c r="C3587" t="s">
        <v>3489</v>
      </c>
      <c r="D3587" t="s">
        <v>3532</v>
      </c>
      <c r="E3587" s="2">
        <v>0.125</v>
      </c>
      <c r="F3587" t="s">
        <v>239</v>
      </c>
      <c r="G3587"/>
      <c r="H3587" t="s">
        <v>240</v>
      </c>
      <c r="I3587"/>
    </row>
    <row r="3588" spans="1:9">
      <c r="A3588" t="s">
        <v>3488</v>
      </c>
      <c r="B3588" s="1" t="str">
        <f>"20098681"</f>
        <v>20098681</v>
      </c>
      <c r="C3588" t="s">
        <v>3489</v>
      </c>
      <c r="D3588" t="s">
        <v>3533</v>
      </c>
      <c r="E3588" s="2"/>
      <c r="F3588" t="s">
        <v>239</v>
      </c>
      <c r="G3588" t="s">
        <v>25</v>
      </c>
      <c r="H3588" t="s">
        <v>25</v>
      </c>
      <c r="I3588"/>
    </row>
    <row r="3589" spans="1:9">
      <c r="A3589" t="s">
        <v>3488</v>
      </c>
      <c r="B3589" s="1" t="str">
        <f>"12013150"</f>
        <v>12013150</v>
      </c>
      <c r="C3589" t="s">
        <v>3489</v>
      </c>
      <c r="D3589" t="s">
        <v>3534</v>
      </c>
      <c r="E3589" s="2">
        <v>0.125</v>
      </c>
      <c r="F3589" t="s">
        <v>239</v>
      </c>
      <c r="G3589" t="s">
        <v>25</v>
      </c>
      <c r="H3589" t="s">
        <v>332</v>
      </c>
      <c r="I3589"/>
    </row>
    <row r="3590" spans="1:9">
      <c r="A3590" t="s">
        <v>3488</v>
      </c>
      <c r="B3590" s="1" t="str">
        <f>"20833114"</f>
        <v>20833114</v>
      </c>
      <c r="C3590" t="s">
        <v>3489</v>
      </c>
      <c r="D3590" t="s">
        <v>3535</v>
      </c>
      <c r="E3590" s="2"/>
      <c r="F3590" t="s">
        <v>12</v>
      </c>
      <c r="G3590" t="s">
        <v>25</v>
      </c>
      <c r="H3590" t="s">
        <v>25</v>
      </c>
      <c r="I3590"/>
    </row>
    <row r="3591" spans="1:9">
      <c r="A3591" t="s">
        <v>3488</v>
      </c>
      <c r="B3591" s="1" t="str">
        <f>"22552033"</f>
        <v>22552033</v>
      </c>
      <c r="C3591" t="s">
        <v>3489</v>
      </c>
      <c r="D3591" t="s">
        <v>3536</v>
      </c>
      <c r="E3591" s="2">
        <v>0.113</v>
      </c>
      <c r="F3591" t="s">
        <v>239</v>
      </c>
      <c r="G3591" t="s">
        <v>25</v>
      </c>
      <c r="H3591" t="s">
        <v>25</v>
      </c>
      <c r="I3591"/>
    </row>
    <row r="3592" spans="1:9">
      <c r="A3592" t="s">
        <v>3488</v>
      </c>
      <c r="B3592" s="1" t="str">
        <f>"12023039"</f>
        <v>12023039</v>
      </c>
      <c r="C3592" t="s">
        <v>3489</v>
      </c>
      <c r="D3592" t="s">
        <v>3537</v>
      </c>
      <c r="E3592" s="2">
        <v>0.12</v>
      </c>
      <c r="F3592" t="s">
        <v>239</v>
      </c>
      <c r="G3592"/>
      <c r="H3592" t="s">
        <v>332</v>
      </c>
      <c r="I3592"/>
    </row>
    <row r="3593" spans="1:9">
      <c r="A3593" t="s">
        <v>3488</v>
      </c>
      <c r="B3593" s="1" t="str">
        <f>"12016571"</f>
        <v>12016571</v>
      </c>
      <c r="C3593" t="s">
        <v>3489</v>
      </c>
      <c r="D3593" t="s">
        <v>3538</v>
      </c>
      <c r="E3593" s="2"/>
      <c r="F3593" t="s">
        <v>239</v>
      </c>
      <c r="G3593" t="s">
        <v>25</v>
      </c>
      <c r="H3593" t="s">
        <v>25</v>
      </c>
      <c r="I3593"/>
    </row>
    <row r="3594" spans="1:9">
      <c r="A3594" t="s">
        <v>3488</v>
      </c>
      <c r="B3594" s="1" t="str">
        <f>"12192579"</f>
        <v>12192579</v>
      </c>
      <c r="C3594" t="s">
        <v>3489</v>
      </c>
      <c r="D3594" t="s">
        <v>3539</v>
      </c>
      <c r="E3594" s="2">
        <v>0.075</v>
      </c>
      <c r="F3594" t="s">
        <v>239</v>
      </c>
      <c r="G3594" t="s">
        <v>25</v>
      </c>
      <c r="H3594" t="s">
        <v>25</v>
      </c>
      <c r="I3594"/>
    </row>
    <row r="3595" spans="1:9">
      <c r="A3595" t="s">
        <v>3488</v>
      </c>
      <c r="B3595" s="1" t="str">
        <f>"12023040"</f>
        <v>12023040</v>
      </c>
      <c r="C3595" t="s">
        <v>3489</v>
      </c>
      <c r="D3595" t="s">
        <v>3540</v>
      </c>
      <c r="E3595" s="2">
        <v>0.125</v>
      </c>
      <c r="F3595" t="s">
        <v>239</v>
      </c>
      <c r="G3595"/>
      <c r="H3595" t="s">
        <v>332</v>
      </c>
      <c r="I3595"/>
    </row>
    <row r="3596" spans="1:9">
      <c r="A3596" t="s">
        <v>3488</v>
      </c>
      <c r="B3596" s="1" t="str">
        <f>"12192572"</f>
        <v>12192572</v>
      </c>
      <c r="C3596" t="s">
        <v>3489</v>
      </c>
      <c r="D3596" t="s">
        <v>3541</v>
      </c>
      <c r="E3596" s="2">
        <v>0.1</v>
      </c>
      <c r="F3596" t="s">
        <v>239</v>
      </c>
      <c r="G3596" t="s">
        <v>29</v>
      </c>
      <c r="H3596" t="s">
        <v>25</v>
      </c>
      <c r="I3596"/>
    </row>
    <row r="3597" spans="1:9">
      <c r="A3597" t="s">
        <v>3488</v>
      </c>
      <c r="B3597" s="1" t="str">
        <f>"12192576"</f>
        <v>12192576</v>
      </c>
      <c r="C3597" t="s">
        <v>3489</v>
      </c>
      <c r="D3597" t="s">
        <v>3542</v>
      </c>
      <c r="E3597" s="2">
        <v>0.12</v>
      </c>
      <c r="F3597" t="s">
        <v>239</v>
      </c>
      <c r="G3597" t="s">
        <v>25</v>
      </c>
      <c r="H3597" t="s">
        <v>25</v>
      </c>
      <c r="I3597"/>
    </row>
    <row r="3598" spans="1:9">
      <c r="A3598" t="s">
        <v>3488</v>
      </c>
      <c r="B3598" s="1" t="str">
        <f>"20034085"</f>
        <v>20034085</v>
      </c>
      <c r="C3598" t="s">
        <v>3489</v>
      </c>
      <c r="D3598" t="s">
        <v>3543</v>
      </c>
      <c r="E3598" s="2"/>
      <c r="F3598" t="s">
        <v>12</v>
      </c>
      <c r="G3598" t="s">
        <v>25</v>
      </c>
      <c r="H3598" t="s">
        <v>25</v>
      </c>
      <c r="I3598"/>
    </row>
    <row r="3599" spans="1:9">
      <c r="A3599" t="s">
        <v>3488</v>
      </c>
      <c r="B3599" s="1" t="str">
        <f>"20528126"</f>
        <v>20528126</v>
      </c>
      <c r="C3599" t="s">
        <v>3489</v>
      </c>
      <c r="D3599" t="s">
        <v>3544</v>
      </c>
      <c r="E3599" s="2"/>
      <c r="F3599" t="s">
        <v>12</v>
      </c>
      <c r="G3599" t="s">
        <v>25</v>
      </c>
      <c r="H3599" t="s">
        <v>25</v>
      </c>
      <c r="I3599"/>
    </row>
    <row r="3600" spans="1:9">
      <c r="A3600" t="s">
        <v>3488</v>
      </c>
      <c r="B3600" s="1" t="str">
        <f>"20528041"</f>
        <v>20528041</v>
      </c>
      <c r="C3600" t="s">
        <v>3489</v>
      </c>
      <c r="D3600" t="s">
        <v>3545</v>
      </c>
      <c r="E3600" s="2"/>
      <c r="F3600" t="s">
        <v>12</v>
      </c>
      <c r="G3600" t="s">
        <v>25</v>
      </c>
      <c r="H3600" t="s">
        <v>25</v>
      </c>
      <c r="I3600"/>
    </row>
    <row r="3601" spans="1:9">
      <c r="A3601" t="s">
        <v>3488</v>
      </c>
      <c r="B3601" s="1" t="str">
        <f>"20528560"</f>
        <v>20528560</v>
      </c>
      <c r="C3601" t="s">
        <v>3489</v>
      </c>
      <c r="D3601" t="s">
        <v>3546</v>
      </c>
      <c r="E3601" s="2"/>
      <c r="F3601" t="s">
        <v>12</v>
      </c>
      <c r="G3601" t="s">
        <v>25</v>
      </c>
      <c r="H3601" t="s">
        <v>25</v>
      </c>
      <c r="I3601"/>
    </row>
    <row r="3602" spans="1:9">
      <c r="A3602" t="s">
        <v>3488</v>
      </c>
      <c r="B3602" s="1" t="str">
        <f>"20528393"</f>
        <v>20528393</v>
      </c>
      <c r="C3602" t="s">
        <v>3489</v>
      </c>
      <c r="D3602" t="s">
        <v>3547</v>
      </c>
      <c r="E3602" s="2"/>
      <c r="F3602" t="s">
        <v>12</v>
      </c>
      <c r="G3602" t="s">
        <v>25</v>
      </c>
      <c r="H3602" t="s">
        <v>25</v>
      </c>
      <c r="I3602"/>
    </row>
    <row r="3603" spans="1:9">
      <c r="A3603" t="s">
        <v>3488</v>
      </c>
      <c r="B3603" s="1" t="str">
        <f>"12013579"</f>
        <v>12013579</v>
      </c>
      <c r="C3603" t="s">
        <v>3489</v>
      </c>
      <c r="D3603" t="s">
        <v>3548</v>
      </c>
      <c r="E3603" s="2"/>
      <c r="F3603" t="s">
        <v>239</v>
      </c>
      <c r="G3603" t="s">
        <v>25</v>
      </c>
      <c r="H3603" t="s">
        <v>25</v>
      </c>
      <c r="I3603"/>
    </row>
    <row r="3604" spans="1:9">
      <c r="A3604" t="s">
        <v>3488</v>
      </c>
      <c r="B3604" s="1" t="str">
        <f>"12013580"</f>
        <v>12013580</v>
      </c>
      <c r="C3604" t="s">
        <v>3489</v>
      </c>
      <c r="D3604" t="s">
        <v>3549</v>
      </c>
      <c r="E3604" s="2"/>
      <c r="F3604" t="s">
        <v>239</v>
      </c>
      <c r="G3604" t="s">
        <v>25</v>
      </c>
      <c r="H3604" t="s">
        <v>332</v>
      </c>
      <c r="I3604"/>
    </row>
    <row r="3605" spans="1:9">
      <c r="A3605" t="s">
        <v>3488</v>
      </c>
      <c r="B3605" s="1" t="str">
        <f>"12860101"</f>
        <v>12860101</v>
      </c>
      <c r="C3605" t="s">
        <v>3489</v>
      </c>
      <c r="D3605" t="s">
        <v>3550</v>
      </c>
      <c r="E3605" s="2">
        <v>0.125</v>
      </c>
      <c r="F3605" t="s">
        <v>239</v>
      </c>
      <c r="G3605"/>
      <c r="H3605" t="s">
        <v>25</v>
      </c>
      <c r="I3605"/>
    </row>
    <row r="3606" spans="1:9">
      <c r="A3606" t="s">
        <v>3488</v>
      </c>
      <c r="B3606" s="1" t="str">
        <f>"12860103"</f>
        <v>12860103</v>
      </c>
      <c r="C3606" t="s">
        <v>3489</v>
      </c>
      <c r="D3606" t="s">
        <v>3551</v>
      </c>
      <c r="E3606" s="2">
        <v>0.125</v>
      </c>
      <c r="F3606" t="s">
        <v>239</v>
      </c>
      <c r="G3606"/>
      <c r="H3606" t="s">
        <v>25</v>
      </c>
      <c r="I3606"/>
    </row>
    <row r="3607" spans="1:9">
      <c r="A3607" t="s">
        <v>3488</v>
      </c>
      <c r="B3607" s="1" t="str">
        <f>"12860104"</f>
        <v>12860104</v>
      </c>
      <c r="C3607" t="s">
        <v>3489</v>
      </c>
      <c r="D3607" t="s">
        <v>3552</v>
      </c>
      <c r="E3607" s="2">
        <v>0.125</v>
      </c>
      <c r="F3607" t="s">
        <v>239</v>
      </c>
      <c r="G3607"/>
      <c r="H3607" t="s">
        <v>25</v>
      </c>
      <c r="I3607"/>
    </row>
    <row r="3608" spans="1:9">
      <c r="A3608" t="s">
        <v>3488</v>
      </c>
      <c r="B3608" s="1" t="str">
        <f>"12860105"</f>
        <v>12860105</v>
      </c>
      <c r="C3608" t="s">
        <v>3489</v>
      </c>
      <c r="D3608" t="s">
        <v>3553</v>
      </c>
      <c r="E3608" s="2">
        <v>0.125</v>
      </c>
      <c r="F3608" t="s">
        <v>239</v>
      </c>
      <c r="G3608"/>
      <c r="H3608" t="s">
        <v>25</v>
      </c>
      <c r="I3608"/>
    </row>
    <row r="3609" spans="1:9">
      <c r="A3609" t="s">
        <v>3488</v>
      </c>
      <c r="B3609" s="1" t="str">
        <f>"12860102"</f>
        <v>12860102</v>
      </c>
      <c r="C3609" t="s">
        <v>3489</v>
      </c>
      <c r="D3609" t="s">
        <v>3554</v>
      </c>
      <c r="E3609" s="2">
        <v>0.125</v>
      </c>
      <c r="F3609" t="s">
        <v>239</v>
      </c>
      <c r="G3609"/>
      <c r="H3609" t="s">
        <v>25</v>
      </c>
      <c r="I3609"/>
    </row>
    <row r="3610" spans="1:9">
      <c r="A3610" t="s">
        <v>3488</v>
      </c>
      <c r="B3610" s="1" t="str">
        <f>"20500207"</f>
        <v>20500207</v>
      </c>
      <c r="C3610" t="s">
        <v>3489</v>
      </c>
      <c r="D3610" t="s">
        <v>3555</v>
      </c>
      <c r="E3610" s="2"/>
      <c r="F3610" t="s">
        <v>239</v>
      </c>
      <c r="G3610" t="s">
        <v>25</v>
      </c>
      <c r="H3610" t="s">
        <v>25</v>
      </c>
      <c r="I3610"/>
    </row>
    <row r="3611" spans="1:9">
      <c r="A3611" t="s">
        <v>3488</v>
      </c>
      <c r="B3611" s="1" t="str">
        <f>"20620714"</f>
        <v>20620714</v>
      </c>
      <c r="C3611" t="s">
        <v>3489</v>
      </c>
      <c r="D3611" t="s">
        <v>3556</v>
      </c>
      <c r="E3611" s="2"/>
      <c r="F3611" t="s">
        <v>239</v>
      </c>
      <c r="G3611" t="s">
        <v>25</v>
      </c>
      <c r="H3611" t="s">
        <v>25</v>
      </c>
      <c r="I3611"/>
    </row>
    <row r="3612" spans="1:9">
      <c r="A3612" t="s">
        <v>3488</v>
      </c>
      <c r="B3612" s="1" t="str">
        <f>"20501525"</f>
        <v>20501525</v>
      </c>
      <c r="C3612" t="s">
        <v>3489</v>
      </c>
      <c r="D3612" t="s">
        <v>3557</v>
      </c>
      <c r="E3612" s="2"/>
      <c r="F3612" t="s">
        <v>239</v>
      </c>
      <c r="G3612" t="s">
        <v>25</v>
      </c>
      <c r="H3612" t="s">
        <v>25</v>
      </c>
      <c r="I3612"/>
    </row>
    <row r="3613" spans="1:9">
      <c r="A3613" t="s">
        <v>3488</v>
      </c>
      <c r="B3613" s="1" t="str">
        <f>"20620721"</f>
        <v>20620721</v>
      </c>
      <c r="C3613" t="s">
        <v>3489</v>
      </c>
      <c r="D3613" t="s">
        <v>3558</v>
      </c>
      <c r="E3613" s="2"/>
      <c r="F3613" t="s">
        <v>239</v>
      </c>
      <c r="G3613" t="s">
        <v>25</v>
      </c>
      <c r="H3613" t="s">
        <v>25</v>
      </c>
      <c r="I3613"/>
    </row>
    <row r="3614" spans="1:9">
      <c r="A3614" t="s">
        <v>3488</v>
      </c>
      <c r="B3614" s="1" t="str">
        <f>"20040659"</f>
        <v>20040659</v>
      </c>
      <c r="C3614" t="s">
        <v>3489</v>
      </c>
      <c r="D3614" t="s">
        <v>3559</v>
      </c>
      <c r="E3614" s="2"/>
      <c r="F3614" t="s">
        <v>12</v>
      </c>
      <c r="G3614" t="s">
        <v>25</v>
      </c>
      <c r="H3614" t="s">
        <v>25</v>
      </c>
      <c r="I3614"/>
    </row>
    <row r="3615" spans="1:9">
      <c r="A3615" t="s">
        <v>3488</v>
      </c>
      <c r="B3615" s="1" t="str">
        <f>"20035365"</f>
        <v>20035365</v>
      </c>
      <c r="C3615" t="s">
        <v>3489</v>
      </c>
      <c r="D3615" t="s">
        <v>3560</v>
      </c>
      <c r="E3615" s="2"/>
      <c r="F3615" t="s">
        <v>239</v>
      </c>
      <c r="G3615" t="s">
        <v>25</v>
      </c>
      <c r="H3615" t="s">
        <v>25</v>
      </c>
      <c r="I3615"/>
    </row>
    <row r="3616" spans="1:9">
      <c r="A3616" t="s">
        <v>3488</v>
      </c>
      <c r="B3616" s="1" t="str">
        <f>"21781111"</f>
        <v>21781111</v>
      </c>
      <c r="C3616" t="s">
        <v>3489</v>
      </c>
      <c r="D3616" t="s">
        <v>3561</v>
      </c>
      <c r="E3616" s="2"/>
      <c r="F3616" t="s">
        <v>12</v>
      </c>
      <c r="G3616" t="s">
        <v>25</v>
      </c>
      <c r="H3616" t="s">
        <v>25</v>
      </c>
      <c r="I3616"/>
    </row>
    <row r="3617" spans="1:9">
      <c r="A3617" t="s">
        <v>3488</v>
      </c>
      <c r="B3617" s="1" t="str">
        <f>"22065119"</f>
        <v>22065119</v>
      </c>
      <c r="C3617" t="s">
        <v>3489</v>
      </c>
      <c r="D3617" t="s">
        <v>3562</v>
      </c>
      <c r="E3617" s="2"/>
      <c r="F3617" t="s">
        <v>12</v>
      </c>
      <c r="G3617" t="s">
        <v>25</v>
      </c>
      <c r="H3617" t="s">
        <v>25</v>
      </c>
      <c r="I3617"/>
    </row>
    <row r="3618" spans="1:9">
      <c r="A3618" t="s">
        <v>3488</v>
      </c>
      <c r="B3618" s="1" t="str">
        <f>"12192625"</f>
        <v>12192625</v>
      </c>
      <c r="C3618" t="s">
        <v>3489</v>
      </c>
      <c r="D3618" t="s">
        <v>3563</v>
      </c>
      <c r="E3618" s="2"/>
      <c r="F3618" t="s">
        <v>239</v>
      </c>
      <c r="G3618" t="s">
        <v>25</v>
      </c>
      <c r="H3618" t="s">
        <v>25</v>
      </c>
      <c r="I3618"/>
    </row>
    <row r="3619" spans="1:9">
      <c r="A3619" t="s">
        <v>3488</v>
      </c>
      <c r="B3619" s="1" t="str">
        <f>"12013027"</f>
        <v>12013027</v>
      </c>
      <c r="C3619" t="s">
        <v>3489</v>
      </c>
      <c r="D3619" t="s">
        <v>3564</v>
      </c>
      <c r="E3619" s="2"/>
      <c r="F3619" t="s">
        <v>239</v>
      </c>
      <c r="G3619" t="s">
        <v>25</v>
      </c>
      <c r="H3619" t="s">
        <v>332</v>
      </c>
      <c r="I3619"/>
    </row>
    <row r="3620" spans="1:9">
      <c r="A3620" t="s">
        <v>3488</v>
      </c>
      <c r="B3620" s="1" t="str">
        <f>"12020012"</f>
        <v>12020012</v>
      </c>
      <c r="C3620" t="s">
        <v>3489</v>
      </c>
      <c r="D3620" t="s">
        <v>3565</v>
      </c>
      <c r="E3620" s="2">
        <v>0.125</v>
      </c>
      <c r="F3620" t="s">
        <v>239</v>
      </c>
      <c r="G3620" t="s">
        <v>25</v>
      </c>
      <c r="H3620" t="s">
        <v>332</v>
      </c>
      <c r="I3620"/>
    </row>
    <row r="3621" spans="1:9">
      <c r="A3621" t="s">
        <v>3488</v>
      </c>
      <c r="B3621" s="1" t="str">
        <f>"12013036"</f>
        <v>12013036</v>
      </c>
      <c r="C3621" t="s">
        <v>3489</v>
      </c>
      <c r="D3621" t="s">
        <v>3566</v>
      </c>
      <c r="E3621" s="2"/>
      <c r="F3621" t="s">
        <v>239</v>
      </c>
      <c r="G3621" t="s">
        <v>25</v>
      </c>
      <c r="H3621" t="s">
        <v>332</v>
      </c>
      <c r="I3621"/>
    </row>
    <row r="3622" spans="1:9">
      <c r="A3622" t="s">
        <v>3488</v>
      </c>
      <c r="B3622" s="1" t="str">
        <f>"12013047"</f>
        <v>12013047</v>
      </c>
      <c r="C3622" t="s">
        <v>3489</v>
      </c>
      <c r="D3622" t="s">
        <v>3567</v>
      </c>
      <c r="E3622" s="2"/>
      <c r="F3622" t="s">
        <v>239</v>
      </c>
      <c r="G3622" t="s">
        <v>25</v>
      </c>
      <c r="H3622" t="s">
        <v>332</v>
      </c>
      <c r="I3622"/>
    </row>
    <row r="3623" spans="1:9">
      <c r="A3623" t="s">
        <v>3488</v>
      </c>
      <c r="B3623" s="1" t="str">
        <f>"12021052"</f>
        <v>12021052</v>
      </c>
      <c r="C3623" t="s">
        <v>3489</v>
      </c>
      <c r="D3623" t="s">
        <v>3568</v>
      </c>
      <c r="E3623" s="2">
        <v>0.095</v>
      </c>
      <c r="F3623" t="s">
        <v>239</v>
      </c>
      <c r="G3623" t="s">
        <v>2780</v>
      </c>
      <c r="H3623" t="s">
        <v>332</v>
      </c>
      <c r="I3623"/>
    </row>
    <row r="3624" spans="1:9">
      <c r="A3624" t="s">
        <v>3488</v>
      </c>
      <c r="B3624" s="1" t="str">
        <f>"12021054"</f>
        <v>12021054</v>
      </c>
      <c r="C3624" t="s">
        <v>3489</v>
      </c>
      <c r="D3624" t="s">
        <v>3569</v>
      </c>
      <c r="E3624" s="2">
        <v>0.11</v>
      </c>
      <c r="F3624" t="s">
        <v>239</v>
      </c>
      <c r="G3624" t="s">
        <v>2780</v>
      </c>
      <c r="H3624" t="s">
        <v>332</v>
      </c>
      <c r="I3624"/>
    </row>
    <row r="3625" spans="1:9">
      <c r="A3625" t="s">
        <v>3488</v>
      </c>
      <c r="B3625" s="1" t="str">
        <f>"20142025"</f>
        <v>20142025</v>
      </c>
      <c r="C3625" t="s">
        <v>3489</v>
      </c>
      <c r="D3625" t="s">
        <v>3570</v>
      </c>
      <c r="E3625" s="2"/>
      <c r="F3625" t="s">
        <v>12</v>
      </c>
      <c r="G3625" t="s">
        <v>25</v>
      </c>
      <c r="H3625" t="s">
        <v>25</v>
      </c>
      <c r="I3625"/>
    </row>
    <row r="3626" spans="1:9">
      <c r="A3626" t="s">
        <v>3488</v>
      </c>
      <c r="B3626" s="1" t="str">
        <f>"12192630"</f>
        <v>12192630</v>
      </c>
      <c r="C3626" t="s">
        <v>3489</v>
      </c>
      <c r="D3626" t="s">
        <v>3571</v>
      </c>
      <c r="E3626" s="2">
        <v>0.12</v>
      </c>
      <c r="F3626" t="s">
        <v>239</v>
      </c>
      <c r="G3626" t="s">
        <v>25</v>
      </c>
      <c r="H3626" t="s">
        <v>332</v>
      </c>
      <c r="I3626"/>
    </row>
    <row r="3627" spans="1:9">
      <c r="A3627" t="s">
        <v>3488</v>
      </c>
      <c r="B3627" s="1" t="str">
        <f>"12013189"</f>
        <v>12013189</v>
      </c>
      <c r="C3627" t="s">
        <v>3489</v>
      </c>
      <c r="D3627" t="s">
        <v>3490</v>
      </c>
      <c r="E3627" s="2">
        <v>0.12</v>
      </c>
      <c r="F3627" t="s">
        <v>239</v>
      </c>
      <c r="G3627"/>
      <c r="H3627" t="s">
        <v>2999</v>
      </c>
      <c r="I3627"/>
    </row>
    <row r="3628" spans="1:9">
      <c r="A3628" t="s">
        <v>3488</v>
      </c>
      <c r="B3628" s="1" t="str">
        <f>"12021088"</f>
        <v>12021088</v>
      </c>
      <c r="C3628" t="s">
        <v>3572</v>
      </c>
      <c r="D3628" t="s">
        <v>3573</v>
      </c>
      <c r="E3628" s="2">
        <v>0.12</v>
      </c>
      <c r="F3628" t="s">
        <v>239</v>
      </c>
      <c r="G3628" t="s">
        <v>2780</v>
      </c>
      <c r="H3628" t="s">
        <v>2780</v>
      </c>
      <c r="I3628"/>
    </row>
    <row r="3629" spans="1:9">
      <c r="A3629" t="s">
        <v>3488</v>
      </c>
      <c r="B3629" s="1" t="str">
        <f>"12021089"</f>
        <v>12021089</v>
      </c>
      <c r="C3629" t="s">
        <v>3572</v>
      </c>
      <c r="D3629" t="s">
        <v>3574</v>
      </c>
      <c r="E3629" s="2">
        <v>0.13</v>
      </c>
      <c r="F3629" t="s">
        <v>239</v>
      </c>
      <c r="G3629" t="s">
        <v>2780</v>
      </c>
      <c r="H3629" t="s">
        <v>2780</v>
      </c>
      <c r="I3629"/>
    </row>
    <row r="3630" spans="1:9">
      <c r="A3630" t="s">
        <v>3488</v>
      </c>
      <c r="B3630" s="1" t="str">
        <f>"21462462"</f>
        <v>21462462</v>
      </c>
      <c r="C3630" t="s">
        <v>3572</v>
      </c>
      <c r="D3630" t="s">
        <v>3575</v>
      </c>
      <c r="E3630" s="2"/>
      <c r="F3630" t="s">
        <v>239</v>
      </c>
      <c r="G3630" t="s">
        <v>25</v>
      </c>
      <c r="H3630" t="s">
        <v>25</v>
      </c>
      <c r="I3630"/>
    </row>
    <row r="3631" spans="1:9">
      <c r="A3631" t="s">
        <v>3488</v>
      </c>
      <c r="B3631" s="1" t="str">
        <f>"12013543"</f>
        <v>12013543</v>
      </c>
      <c r="C3631" t="s">
        <v>3572</v>
      </c>
      <c r="D3631" t="s">
        <v>3576</v>
      </c>
      <c r="E3631" s="2"/>
      <c r="F3631" t="s">
        <v>239</v>
      </c>
      <c r="G3631" t="s">
        <v>29</v>
      </c>
      <c r="H3631" t="s">
        <v>25</v>
      </c>
      <c r="I3631"/>
    </row>
    <row r="3632" spans="1:9">
      <c r="A3632" t="s">
        <v>3488</v>
      </c>
      <c r="B3632" s="1" t="str">
        <f>"12020051"</f>
        <v>12020051</v>
      </c>
      <c r="C3632" t="s">
        <v>3572</v>
      </c>
      <c r="D3632" t="s">
        <v>3577</v>
      </c>
      <c r="E3632" s="2">
        <v>0.115</v>
      </c>
      <c r="F3632" t="s">
        <v>239</v>
      </c>
      <c r="G3632" t="s">
        <v>25</v>
      </c>
      <c r="H3632" t="s">
        <v>25</v>
      </c>
      <c r="I3632"/>
    </row>
    <row r="3633" spans="1:9">
      <c r="A3633" t="s">
        <v>3488</v>
      </c>
      <c r="B3633" s="1" t="str">
        <f>"12013461"</f>
        <v>12013461</v>
      </c>
      <c r="C3633" t="s">
        <v>3572</v>
      </c>
      <c r="D3633" t="s">
        <v>3578</v>
      </c>
      <c r="E3633" s="2">
        <v>0.133</v>
      </c>
      <c r="F3633" t="s">
        <v>239</v>
      </c>
      <c r="G3633" t="s">
        <v>25</v>
      </c>
      <c r="H3633" t="s">
        <v>25</v>
      </c>
      <c r="I3633"/>
    </row>
    <row r="3634" spans="1:9">
      <c r="A3634" t="s">
        <v>3488</v>
      </c>
      <c r="B3634" s="1" t="str">
        <f>"12020052"</f>
        <v>12020052</v>
      </c>
      <c r="C3634" t="s">
        <v>3572</v>
      </c>
      <c r="D3634" t="s">
        <v>3579</v>
      </c>
      <c r="E3634" s="2">
        <v>0.125</v>
      </c>
      <c r="F3634" t="s">
        <v>239</v>
      </c>
      <c r="G3634" t="s">
        <v>25</v>
      </c>
      <c r="H3634" t="s">
        <v>25</v>
      </c>
      <c r="I3634"/>
    </row>
    <row r="3635" spans="1:9">
      <c r="A3635" t="s">
        <v>3488</v>
      </c>
      <c r="B3635" s="1" t="str">
        <f>"12020053"</f>
        <v>12020053</v>
      </c>
      <c r="C3635" t="s">
        <v>3572</v>
      </c>
      <c r="D3635" t="s">
        <v>3580</v>
      </c>
      <c r="E3635" s="2">
        <v>0.11</v>
      </c>
      <c r="F3635" t="s">
        <v>3581</v>
      </c>
      <c r="G3635" t="s">
        <v>25</v>
      </c>
      <c r="H3635" t="s">
        <v>25</v>
      </c>
      <c r="I3635"/>
    </row>
    <row r="3636" spans="1:9">
      <c r="A3636" t="s">
        <v>3488</v>
      </c>
      <c r="B3636" s="1" t="str">
        <f>"12016579"</f>
        <v>12016579</v>
      </c>
      <c r="C3636" t="s">
        <v>3582</v>
      </c>
      <c r="D3636" t="s">
        <v>3583</v>
      </c>
      <c r="E3636" s="2"/>
      <c r="F3636" t="s">
        <v>239</v>
      </c>
      <c r="G3636" t="s">
        <v>25</v>
      </c>
      <c r="H3636" t="s">
        <v>25</v>
      </c>
      <c r="I3636"/>
    </row>
    <row r="3637" spans="1:9">
      <c r="A3637" t="s">
        <v>3488</v>
      </c>
      <c r="B3637" s="1" t="str">
        <f>"12013888"</f>
        <v>12013888</v>
      </c>
      <c r="C3637" t="s">
        <v>3582</v>
      </c>
      <c r="D3637" t="s">
        <v>3584</v>
      </c>
      <c r="E3637" s="2"/>
      <c r="F3637" t="s">
        <v>239</v>
      </c>
      <c r="G3637" t="s">
        <v>25</v>
      </c>
      <c r="H3637" t="s">
        <v>332</v>
      </c>
      <c r="I3637"/>
    </row>
    <row r="3638" spans="1:9">
      <c r="A3638" t="s">
        <v>3488</v>
      </c>
      <c r="B3638" s="1" t="str">
        <f>"12016583"</f>
        <v>12016583</v>
      </c>
      <c r="C3638" t="s">
        <v>3582</v>
      </c>
      <c r="D3638" t="s">
        <v>3585</v>
      </c>
      <c r="E3638" s="2"/>
      <c r="F3638" t="s">
        <v>239</v>
      </c>
      <c r="G3638" t="s">
        <v>25</v>
      </c>
      <c r="H3638" t="s">
        <v>25</v>
      </c>
      <c r="I3638"/>
    </row>
    <row r="3639" spans="1:9">
      <c r="A3639" t="s">
        <v>3488</v>
      </c>
      <c r="B3639" s="1" t="str">
        <f>"12016585"</f>
        <v>12016585</v>
      </c>
      <c r="C3639" t="s">
        <v>3582</v>
      </c>
      <c r="D3639" t="s">
        <v>3586</v>
      </c>
      <c r="E3639" s="2"/>
      <c r="F3639" t="s">
        <v>239</v>
      </c>
      <c r="G3639" t="s">
        <v>25</v>
      </c>
      <c r="H3639" t="s">
        <v>25</v>
      </c>
      <c r="I3639"/>
    </row>
    <row r="3640" spans="1:9">
      <c r="A3640" t="s">
        <v>3488</v>
      </c>
      <c r="B3640" s="1" t="str">
        <f>"12013905"</f>
        <v>12013905</v>
      </c>
      <c r="C3640" t="s">
        <v>3582</v>
      </c>
      <c r="D3640" t="s">
        <v>3587</v>
      </c>
      <c r="E3640" s="2">
        <v>0.115</v>
      </c>
      <c r="F3640" t="s">
        <v>239</v>
      </c>
      <c r="G3640" t="s">
        <v>25</v>
      </c>
      <c r="H3640" t="s">
        <v>25</v>
      </c>
      <c r="I3640"/>
    </row>
    <row r="3641" spans="1:9">
      <c r="A3641" t="s">
        <v>3488</v>
      </c>
      <c r="B3641" s="1" t="str">
        <f>"12013879"</f>
        <v>12013879</v>
      </c>
      <c r="C3641" t="s">
        <v>3582</v>
      </c>
      <c r="D3641" t="s">
        <v>3588</v>
      </c>
      <c r="E3641" s="2">
        <v>0.13</v>
      </c>
      <c r="F3641" t="s">
        <v>239</v>
      </c>
      <c r="G3641" t="s">
        <v>25</v>
      </c>
      <c r="H3641" t="s">
        <v>25</v>
      </c>
      <c r="I3641"/>
    </row>
    <row r="3642" spans="1:9">
      <c r="A3642" t="s">
        <v>3488</v>
      </c>
      <c r="B3642" s="1" t="str">
        <f>"12016591"</f>
        <v>12016591</v>
      </c>
      <c r="C3642" t="s">
        <v>3582</v>
      </c>
      <c r="D3642" t="s">
        <v>3589</v>
      </c>
      <c r="E3642" s="2"/>
      <c r="F3642" t="s">
        <v>239</v>
      </c>
      <c r="G3642" t="s">
        <v>25</v>
      </c>
      <c r="H3642" t="s">
        <v>25</v>
      </c>
      <c r="I3642"/>
    </row>
    <row r="3643" spans="1:9">
      <c r="A3643" t="s">
        <v>3488</v>
      </c>
      <c r="B3643" s="1" t="str">
        <f>"20016906"</f>
        <v>20016906</v>
      </c>
      <c r="C3643" t="s">
        <v>3582</v>
      </c>
      <c r="D3643" t="s">
        <v>3590</v>
      </c>
      <c r="E3643" s="2"/>
      <c r="F3643" t="s">
        <v>239</v>
      </c>
      <c r="G3643" t="s">
        <v>25</v>
      </c>
      <c r="H3643" t="s">
        <v>25</v>
      </c>
      <c r="I3643"/>
    </row>
    <row r="3644" spans="1:9">
      <c r="A3644" t="s">
        <v>3488</v>
      </c>
      <c r="B3644" s="1" t="str">
        <f>"20157555"</f>
        <v>20157555</v>
      </c>
      <c r="C3644" t="s">
        <v>3582</v>
      </c>
      <c r="D3644" t="s">
        <v>3591</v>
      </c>
      <c r="E3644" s="2"/>
      <c r="F3644" t="s">
        <v>331</v>
      </c>
      <c r="G3644" t="s">
        <v>25</v>
      </c>
      <c r="H3644" t="s">
        <v>25</v>
      </c>
      <c r="I3644"/>
    </row>
    <row r="3645" spans="1:9">
      <c r="A3645" t="s">
        <v>3488</v>
      </c>
      <c r="B3645" s="1" t="str">
        <f>"20833534"</f>
        <v>20833534</v>
      </c>
      <c r="C3645" t="s">
        <v>3582</v>
      </c>
      <c r="D3645" t="s">
        <v>3592</v>
      </c>
      <c r="E3645" s="2"/>
      <c r="F3645" t="s">
        <v>1477</v>
      </c>
      <c r="G3645" t="s">
        <v>25</v>
      </c>
      <c r="H3645" t="s">
        <v>25</v>
      </c>
      <c r="I3645"/>
    </row>
    <row r="3646" spans="1:9">
      <c r="A3646" t="s">
        <v>3488</v>
      </c>
      <c r="B3646" s="1" t="str">
        <f>"20016907"</f>
        <v>20016907</v>
      </c>
      <c r="C3646" t="s">
        <v>3582</v>
      </c>
      <c r="D3646" t="s">
        <v>3593</v>
      </c>
      <c r="E3646" s="2"/>
      <c r="F3646" t="s">
        <v>239</v>
      </c>
      <c r="G3646" t="s">
        <v>25</v>
      </c>
      <c r="H3646" t="s">
        <v>25</v>
      </c>
      <c r="I3646"/>
    </row>
    <row r="3647" spans="1:9">
      <c r="A3647" t="s">
        <v>3488</v>
      </c>
      <c r="B3647" s="1" t="str">
        <f>"12192587"</f>
        <v>12192587</v>
      </c>
      <c r="C3647" t="s">
        <v>3582</v>
      </c>
      <c r="D3647" t="s">
        <v>3594</v>
      </c>
      <c r="E3647" s="2">
        <v>0.13</v>
      </c>
      <c r="F3647" t="s">
        <v>239</v>
      </c>
      <c r="G3647" t="s">
        <v>2780</v>
      </c>
      <c r="H3647" t="s">
        <v>2780</v>
      </c>
      <c r="I3647"/>
    </row>
    <row r="3648" spans="1:9">
      <c r="A3648" t="s">
        <v>3488</v>
      </c>
      <c r="B3648" s="1" t="str">
        <f>"12192585"</f>
        <v>12192585</v>
      </c>
      <c r="C3648" t="s">
        <v>3582</v>
      </c>
      <c r="D3648" t="s">
        <v>3595</v>
      </c>
      <c r="E3648" s="2">
        <v>0.135</v>
      </c>
      <c r="F3648" t="s">
        <v>239</v>
      </c>
      <c r="G3648" t="s">
        <v>25</v>
      </c>
      <c r="H3648" t="s">
        <v>25</v>
      </c>
      <c r="I3648"/>
    </row>
    <row r="3649" spans="1:9">
      <c r="A3649" t="s">
        <v>3488</v>
      </c>
      <c r="B3649" s="1" t="str">
        <f>"20090609"</f>
        <v>20090609</v>
      </c>
      <c r="C3649" t="s">
        <v>3582</v>
      </c>
      <c r="D3649" t="s">
        <v>3596</v>
      </c>
      <c r="E3649" s="2"/>
      <c r="F3649" t="s">
        <v>12</v>
      </c>
      <c r="G3649" t="s">
        <v>25</v>
      </c>
      <c r="H3649" t="s">
        <v>25</v>
      </c>
      <c r="I3649"/>
    </row>
    <row r="3650" spans="1:9">
      <c r="A3650" t="s">
        <v>3488</v>
      </c>
      <c r="B3650" s="1" t="str">
        <f>"12013949"</f>
        <v>12013949</v>
      </c>
      <c r="C3650" t="s">
        <v>3582</v>
      </c>
      <c r="D3650" t="s">
        <v>3597</v>
      </c>
      <c r="E3650" s="2"/>
      <c r="F3650" t="s">
        <v>239</v>
      </c>
      <c r="G3650" t="s">
        <v>29</v>
      </c>
      <c r="H3650" t="s">
        <v>25</v>
      </c>
      <c r="I3650"/>
    </row>
    <row r="3651" spans="1:9">
      <c r="A3651" t="s">
        <v>3488</v>
      </c>
      <c r="B3651" s="1" t="str">
        <f>"12013502"</f>
        <v>12013502</v>
      </c>
      <c r="C3651" t="s">
        <v>3582</v>
      </c>
      <c r="D3651" t="s">
        <v>3598</v>
      </c>
      <c r="E3651" s="2"/>
      <c r="F3651" t="s">
        <v>239</v>
      </c>
      <c r="G3651" t="s">
        <v>25</v>
      </c>
      <c r="H3651" t="s">
        <v>332</v>
      </c>
      <c r="I3651"/>
    </row>
    <row r="3652" spans="1:9">
      <c r="A3652" t="s">
        <v>3488</v>
      </c>
      <c r="B3652" s="1" t="str">
        <f>"12192586"</f>
        <v>12192586</v>
      </c>
      <c r="C3652" t="s">
        <v>3582</v>
      </c>
      <c r="D3652" t="s">
        <v>3599</v>
      </c>
      <c r="E3652" s="2">
        <v>0.14</v>
      </c>
      <c r="F3652" t="s">
        <v>239</v>
      </c>
      <c r="G3652" t="s">
        <v>25</v>
      </c>
      <c r="H3652" t="s">
        <v>332</v>
      </c>
      <c r="I3652"/>
    </row>
    <row r="3653" spans="1:9">
      <c r="A3653" t="s">
        <v>3488</v>
      </c>
      <c r="B3653" s="1" t="str">
        <f>"12013532"</f>
        <v>12013532</v>
      </c>
      <c r="C3653" t="s">
        <v>3582</v>
      </c>
      <c r="D3653" t="s">
        <v>3600</v>
      </c>
      <c r="E3653" s="2"/>
      <c r="F3653" t="s">
        <v>239</v>
      </c>
      <c r="G3653" t="s">
        <v>25</v>
      </c>
      <c r="H3653" t="s">
        <v>332</v>
      </c>
      <c r="I3653"/>
    </row>
    <row r="3654" spans="1:9">
      <c r="A3654" t="s">
        <v>3488</v>
      </c>
      <c r="B3654" s="1" t="str">
        <f>"12016608"</f>
        <v>12016608</v>
      </c>
      <c r="C3654" t="s">
        <v>3582</v>
      </c>
      <c r="D3654" t="s">
        <v>3601</v>
      </c>
      <c r="E3654" s="2"/>
      <c r="F3654" t="s">
        <v>239</v>
      </c>
      <c r="G3654" t="s">
        <v>25</v>
      </c>
      <c r="H3654" t="s">
        <v>332</v>
      </c>
      <c r="I3654"/>
    </row>
    <row r="3655" spans="1:9">
      <c r="A3655" t="s">
        <v>3488</v>
      </c>
      <c r="B3655" s="1" t="str">
        <f>"12013062"</f>
        <v>12013062</v>
      </c>
      <c r="C3655" t="s">
        <v>3582</v>
      </c>
      <c r="D3655" t="s">
        <v>3602</v>
      </c>
      <c r="E3655" s="2"/>
      <c r="F3655" t="s">
        <v>1477</v>
      </c>
      <c r="G3655" t="s">
        <v>25</v>
      </c>
      <c r="H3655" t="s">
        <v>25</v>
      </c>
      <c r="I3655"/>
    </row>
    <row r="3656" spans="1:9">
      <c r="A3656" t="s">
        <v>3488</v>
      </c>
      <c r="B3656" s="1" t="str">
        <f>"12013059"</f>
        <v>12013059</v>
      </c>
      <c r="C3656" t="s">
        <v>3582</v>
      </c>
      <c r="D3656" t="s">
        <v>3603</v>
      </c>
      <c r="E3656" s="2"/>
      <c r="F3656" t="s">
        <v>239</v>
      </c>
      <c r="G3656" t="s">
        <v>25</v>
      </c>
      <c r="H3656" t="s">
        <v>25</v>
      </c>
      <c r="I3656"/>
    </row>
    <row r="3657" spans="1:9">
      <c r="A3657" t="s">
        <v>3488</v>
      </c>
      <c r="B3657" s="1" t="str">
        <f>"12013066"</f>
        <v>12013066</v>
      </c>
      <c r="C3657" t="s">
        <v>3582</v>
      </c>
      <c r="D3657" t="s">
        <v>3604</v>
      </c>
      <c r="E3657" s="2"/>
      <c r="F3657" t="s">
        <v>239</v>
      </c>
      <c r="G3657" t="s">
        <v>25</v>
      </c>
      <c r="H3657" t="s">
        <v>25</v>
      </c>
      <c r="I3657"/>
    </row>
    <row r="3658" spans="1:9">
      <c r="A3658" t="s">
        <v>3488</v>
      </c>
      <c r="B3658" s="1" t="str">
        <f>"12023019"</f>
        <v>12023019</v>
      </c>
      <c r="C3658" t="s">
        <v>3582</v>
      </c>
      <c r="D3658" t="s">
        <v>3605</v>
      </c>
      <c r="E3658" s="2">
        <v>0.125</v>
      </c>
      <c r="F3658" t="s">
        <v>239</v>
      </c>
      <c r="G3658"/>
      <c r="H3658" t="s">
        <v>240</v>
      </c>
      <c r="I3658"/>
    </row>
    <row r="3659" spans="1:9">
      <c r="A3659" t="s">
        <v>3488</v>
      </c>
      <c r="B3659" s="1" t="str">
        <f>"12023021"</f>
        <v>12023021</v>
      </c>
      <c r="C3659" t="s">
        <v>3582</v>
      </c>
      <c r="D3659" t="s">
        <v>3606</v>
      </c>
      <c r="E3659" s="2">
        <v>0.125</v>
      </c>
      <c r="F3659" t="s">
        <v>239</v>
      </c>
      <c r="G3659"/>
      <c r="H3659" t="s">
        <v>240</v>
      </c>
      <c r="I3659"/>
    </row>
    <row r="3660" spans="1:9">
      <c r="A3660" t="s">
        <v>3488</v>
      </c>
      <c r="B3660" s="1" t="str">
        <f>"12023020"</f>
        <v>12023020</v>
      </c>
      <c r="C3660" t="s">
        <v>3582</v>
      </c>
      <c r="D3660" t="s">
        <v>3607</v>
      </c>
      <c r="E3660" s="2">
        <v>0.125</v>
      </c>
      <c r="F3660" t="s">
        <v>239</v>
      </c>
      <c r="G3660"/>
      <c r="H3660" t="s">
        <v>240</v>
      </c>
      <c r="I3660"/>
    </row>
    <row r="3661" spans="1:9">
      <c r="A3661" t="s">
        <v>3488</v>
      </c>
      <c r="B3661" s="1" t="str">
        <f>"12021059"</f>
        <v>12021059</v>
      </c>
      <c r="C3661" t="s">
        <v>3582</v>
      </c>
      <c r="D3661" t="s">
        <v>3608</v>
      </c>
      <c r="E3661" s="2">
        <v>0.13</v>
      </c>
      <c r="F3661" t="s">
        <v>239</v>
      </c>
      <c r="G3661" t="s">
        <v>2780</v>
      </c>
      <c r="H3661" t="s">
        <v>332</v>
      </c>
      <c r="I3661"/>
    </row>
    <row r="3662" spans="1:9">
      <c r="A3662" t="s">
        <v>3488</v>
      </c>
      <c r="B3662" s="1" t="str">
        <f>"12013496"</f>
        <v>12013496</v>
      </c>
      <c r="C3662" t="s">
        <v>3582</v>
      </c>
      <c r="D3662" t="s">
        <v>3609</v>
      </c>
      <c r="E3662" s="2">
        <v>0.125</v>
      </c>
      <c r="F3662" t="s">
        <v>239</v>
      </c>
      <c r="G3662" t="s">
        <v>25</v>
      </c>
      <c r="H3662" t="s">
        <v>332</v>
      </c>
      <c r="I3662"/>
    </row>
    <row r="3663" spans="1:9">
      <c r="A3663" t="s">
        <v>3488</v>
      </c>
      <c r="B3663" s="1" t="str">
        <f>"12013881"</f>
        <v>12013881</v>
      </c>
      <c r="C3663" t="s">
        <v>3582</v>
      </c>
      <c r="D3663" t="s">
        <v>3610</v>
      </c>
      <c r="E3663" s="2">
        <v>0.13</v>
      </c>
      <c r="F3663" t="s">
        <v>239</v>
      </c>
      <c r="G3663" t="s">
        <v>25</v>
      </c>
      <c r="H3663" t="s">
        <v>25</v>
      </c>
      <c r="I3663"/>
    </row>
    <row r="3664" spans="1:9">
      <c r="A3664" t="s">
        <v>3488</v>
      </c>
      <c r="B3664" s="1" t="str">
        <f>"20105679"</f>
        <v>20105679</v>
      </c>
      <c r="C3664" t="s">
        <v>3582</v>
      </c>
      <c r="D3664" t="s">
        <v>3611</v>
      </c>
      <c r="E3664" s="2"/>
      <c r="F3664" t="s">
        <v>12</v>
      </c>
      <c r="G3664" t="s">
        <v>25</v>
      </c>
      <c r="H3664" t="s">
        <v>25</v>
      </c>
      <c r="I3664"/>
    </row>
    <row r="3665" spans="1:9">
      <c r="A3665" t="s">
        <v>3488</v>
      </c>
      <c r="B3665" s="1" t="str">
        <f>"12350064"</f>
        <v>12350064</v>
      </c>
      <c r="C3665" t="s">
        <v>3582</v>
      </c>
      <c r="D3665" t="s">
        <v>3612</v>
      </c>
      <c r="E3665" s="2"/>
      <c r="F3665" t="s">
        <v>239</v>
      </c>
      <c r="G3665" t="s">
        <v>25</v>
      </c>
      <c r="H3665" t="s">
        <v>25</v>
      </c>
      <c r="I3665"/>
    </row>
    <row r="3666" spans="1:9">
      <c r="A3666" t="s">
        <v>3488</v>
      </c>
      <c r="B3666" s="1" t="str">
        <f>"12016609"</f>
        <v>12016609</v>
      </c>
      <c r="C3666" t="s">
        <v>3582</v>
      </c>
      <c r="D3666" t="s">
        <v>3613</v>
      </c>
      <c r="E3666" s="2"/>
      <c r="F3666" t="s">
        <v>239</v>
      </c>
      <c r="G3666" t="s">
        <v>25</v>
      </c>
      <c r="H3666" t="s">
        <v>332</v>
      </c>
      <c r="I3666"/>
    </row>
    <row r="3667" spans="1:9">
      <c r="A3667" t="s">
        <v>3488</v>
      </c>
      <c r="B3667" s="1" t="str">
        <f>"12860110"</f>
        <v>12860110</v>
      </c>
      <c r="C3667" t="s">
        <v>3582</v>
      </c>
      <c r="D3667" t="s">
        <v>3614</v>
      </c>
      <c r="E3667" s="2">
        <v>0.13</v>
      </c>
      <c r="F3667" t="s">
        <v>239</v>
      </c>
      <c r="G3667"/>
      <c r="H3667" t="s">
        <v>332</v>
      </c>
      <c r="I3667"/>
    </row>
    <row r="3668" spans="1:9">
      <c r="A3668" t="s">
        <v>3488</v>
      </c>
      <c r="B3668" s="1" t="str">
        <f>"20501273"</f>
        <v>20501273</v>
      </c>
      <c r="C3668" t="s">
        <v>3615</v>
      </c>
      <c r="D3668" t="s">
        <v>3616</v>
      </c>
      <c r="E3668" s="2"/>
      <c r="F3668" t="s">
        <v>239</v>
      </c>
      <c r="G3668" t="s">
        <v>25</v>
      </c>
      <c r="H3668" t="s">
        <v>25</v>
      </c>
      <c r="I3668"/>
    </row>
    <row r="3669" spans="1:9">
      <c r="A3669" t="s">
        <v>3488</v>
      </c>
      <c r="B3669" s="1" t="str">
        <f>"12191341"</f>
        <v>12191341</v>
      </c>
      <c r="C3669" t="s">
        <v>2846</v>
      </c>
      <c r="D3669" t="s">
        <v>3617</v>
      </c>
      <c r="E3669" s="2">
        <v>0.125</v>
      </c>
      <c r="F3669" t="s">
        <v>239</v>
      </c>
      <c r="G3669" t="s">
        <v>25</v>
      </c>
      <c r="H3669" t="s">
        <v>25</v>
      </c>
      <c r="I3669"/>
    </row>
    <row r="3670" spans="1:9">
      <c r="A3670" t="s">
        <v>3488</v>
      </c>
      <c r="B3670" s="1" t="str">
        <f>"12013459"</f>
        <v>12013459</v>
      </c>
      <c r="C3670" t="s">
        <v>2846</v>
      </c>
      <c r="D3670" t="s">
        <v>3618</v>
      </c>
      <c r="E3670" s="2">
        <v>0.12</v>
      </c>
      <c r="F3670" t="s">
        <v>239</v>
      </c>
      <c r="G3670" t="s">
        <v>25</v>
      </c>
      <c r="H3670" t="s">
        <v>25</v>
      </c>
      <c r="I3670"/>
    </row>
    <row r="3671" spans="1:9">
      <c r="A3671" t="s">
        <v>3488</v>
      </c>
      <c r="B3671" s="1" t="str">
        <f>"12192508"</f>
        <v>12192508</v>
      </c>
      <c r="C3671" t="s">
        <v>2846</v>
      </c>
      <c r="D3671" t="s">
        <v>3619</v>
      </c>
      <c r="E3671" s="2">
        <v>0.13</v>
      </c>
      <c r="F3671" t="s">
        <v>239</v>
      </c>
      <c r="G3671" t="s">
        <v>25</v>
      </c>
      <c r="H3671" t="s">
        <v>332</v>
      </c>
      <c r="I3671"/>
    </row>
    <row r="3672" spans="1:9">
      <c r="A3672" t="s">
        <v>3488</v>
      </c>
      <c r="B3672" s="1" t="str">
        <f>"12860109"</f>
        <v>12860109</v>
      </c>
      <c r="C3672" t="s">
        <v>2846</v>
      </c>
      <c r="D3672" t="s">
        <v>3620</v>
      </c>
      <c r="E3672" s="2">
        <v>0.13</v>
      </c>
      <c r="F3672" t="s">
        <v>239</v>
      </c>
      <c r="G3672"/>
      <c r="H3672" t="s">
        <v>332</v>
      </c>
      <c r="I3672"/>
    </row>
    <row r="3673" spans="1:9">
      <c r="A3673" t="s">
        <v>3488</v>
      </c>
      <c r="B3673" s="1" t="str">
        <f>"12013080"</f>
        <v>12013080</v>
      </c>
      <c r="C3673" t="s">
        <v>2846</v>
      </c>
      <c r="D3673" t="s">
        <v>3621</v>
      </c>
      <c r="E3673" s="2"/>
      <c r="F3673" t="s">
        <v>239</v>
      </c>
      <c r="G3673" t="s">
        <v>25</v>
      </c>
      <c r="H3673" t="s">
        <v>25</v>
      </c>
      <c r="I3673"/>
    </row>
    <row r="3674" spans="1:9">
      <c r="A3674" t="s">
        <v>3488</v>
      </c>
      <c r="B3674" s="1" t="str">
        <f>"12860121"</f>
        <v>12860121</v>
      </c>
      <c r="C3674" t="s">
        <v>2846</v>
      </c>
      <c r="D3674" t="s">
        <v>3622</v>
      </c>
      <c r="E3674" s="2">
        <v>0.135</v>
      </c>
      <c r="F3674" t="s">
        <v>239</v>
      </c>
      <c r="G3674" t="s">
        <v>2780</v>
      </c>
      <c r="H3674" t="s">
        <v>332</v>
      </c>
      <c r="I3674"/>
    </row>
    <row r="3675" spans="1:9">
      <c r="A3675" t="s">
        <v>3488</v>
      </c>
      <c r="B3675" s="1" t="str">
        <f>"12013522"</f>
        <v>12013522</v>
      </c>
      <c r="C3675" t="s">
        <v>2846</v>
      </c>
      <c r="D3675" t="s">
        <v>3623</v>
      </c>
      <c r="E3675" s="2"/>
      <c r="F3675" t="s">
        <v>239</v>
      </c>
      <c r="G3675" t="s">
        <v>25</v>
      </c>
      <c r="H3675" t="s">
        <v>25</v>
      </c>
      <c r="I3675"/>
    </row>
    <row r="3676" spans="1:9">
      <c r="A3676" t="s">
        <v>3488</v>
      </c>
      <c r="B3676" s="1" t="str">
        <f>"20225575"</f>
        <v>20225575</v>
      </c>
      <c r="C3676" t="s">
        <v>2846</v>
      </c>
      <c r="D3676" t="s">
        <v>3624</v>
      </c>
      <c r="E3676" s="2"/>
      <c r="F3676" t="s">
        <v>239</v>
      </c>
      <c r="G3676" t="s">
        <v>25</v>
      </c>
      <c r="H3676" t="s">
        <v>25</v>
      </c>
      <c r="I3676"/>
    </row>
    <row r="3677" spans="1:9">
      <c r="A3677" t="s">
        <v>3488</v>
      </c>
      <c r="B3677" s="1" t="str">
        <f>"12013453"</f>
        <v>12013453</v>
      </c>
      <c r="C3677" t="s">
        <v>2846</v>
      </c>
      <c r="D3677" t="s">
        <v>3625</v>
      </c>
      <c r="E3677" s="2">
        <v>0.13</v>
      </c>
      <c r="F3677" t="s">
        <v>239</v>
      </c>
      <c r="G3677" t="s">
        <v>25</v>
      </c>
      <c r="H3677" t="s">
        <v>25</v>
      </c>
      <c r="I3677"/>
    </row>
    <row r="3678" spans="1:9">
      <c r="A3678" t="s">
        <v>3488</v>
      </c>
      <c r="B3678" s="1" t="str">
        <f>"12013183"</f>
        <v>12013183</v>
      </c>
      <c r="C3678" t="s">
        <v>2846</v>
      </c>
      <c r="D3678" t="s">
        <v>3626</v>
      </c>
      <c r="E3678" s="2">
        <v>0.125</v>
      </c>
      <c r="F3678" t="s">
        <v>239</v>
      </c>
      <c r="G3678"/>
      <c r="H3678" t="s">
        <v>360</v>
      </c>
      <c r="I3678"/>
    </row>
    <row r="3679" spans="1:9">
      <c r="A3679" t="s">
        <v>3488</v>
      </c>
      <c r="B3679" s="1" t="str">
        <f>"12013085"</f>
        <v>12013085</v>
      </c>
      <c r="C3679" t="s">
        <v>2846</v>
      </c>
      <c r="D3679" t="s">
        <v>3627</v>
      </c>
      <c r="E3679" s="2"/>
      <c r="F3679" t="s">
        <v>239</v>
      </c>
      <c r="G3679" t="s">
        <v>25</v>
      </c>
      <c r="H3679" t="s">
        <v>25</v>
      </c>
      <c r="I3679"/>
    </row>
    <row r="3680" spans="1:9">
      <c r="A3680" t="s">
        <v>3488</v>
      </c>
      <c r="B3680" s="1" t="str">
        <f>"20111403"</f>
        <v>20111403</v>
      </c>
      <c r="C3680" t="s">
        <v>2846</v>
      </c>
      <c r="D3680" t="s">
        <v>3628</v>
      </c>
      <c r="E3680" s="2"/>
      <c r="F3680" t="s">
        <v>239</v>
      </c>
      <c r="G3680" t="s">
        <v>25</v>
      </c>
      <c r="H3680" t="s">
        <v>25</v>
      </c>
      <c r="I3680"/>
    </row>
    <row r="3681" spans="1:9">
      <c r="A3681" t="s">
        <v>3488</v>
      </c>
      <c r="B3681" s="1" t="str">
        <f>"20869193"</f>
        <v>20869193</v>
      </c>
      <c r="C3681" t="s">
        <v>2846</v>
      </c>
      <c r="D3681" t="s">
        <v>3629</v>
      </c>
      <c r="E3681" s="2"/>
      <c r="F3681" t="s">
        <v>3630</v>
      </c>
      <c r="G3681" t="s">
        <v>25</v>
      </c>
      <c r="H3681" t="s">
        <v>25</v>
      </c>
      <c r="I3681"/>
    </row>
    <row r="3682" spans="1:9">
      <c r="A3682" t="s">
        <v>3488</v>
      </c>
      <c r="B3682" s="1" t="str">
        <f>"12021069"</f>
        <v>12021069</v>
      </c>
      <c r="C3682" t="s">
        <v>2846</v>
      </c>
      <c r="D3682" t="s">
        <v>3631</v>
      </c>
      <c r="E3682" s="2">
        <v>0.125</v>
      </c>
      <c r="F3682" t="s">
        <v>239</v>
      </c>
      <c r="G3682" t="s">
        <v>2780</v>
      </c>
      <c r="H3682" t="s">
        <v>332</v>
      </c>
      <c r="I3682"/>
    </row>
    <row r="3683" spans="1:9">
      <c r="A3683" t="s">
        <v>3488</v>
      </c>
      <c r="B3683" s="1" t="str">
        <f>"12202050"</f>
        <v>12202050</v>
      </c>
      <c r="C3683" t="s">
        <v>2846</v>
      </c>
      <c r="D3683" t="s">
        <v>3632</v>
      </c>
      <c r="E3683" s="2">
        <v>0.05</v>
      </c>
      <c r="F3683" t="s">
        <v>239</v>
      </c>
      <c r="G3683" t="s">
        <v>25</v>
      </c>
      <c r="H3683" t="s">
        <v>332</v>
      </c>
      <c r="I3683"/>
    </row>
    <row r="3684" spans="1:9">
      <c r="A3684" t="s">
        <v>3488</v>
      </c>
      <c r="B3684" s="1" t="str">
        <f>"12013455"</f>
        <v>12013455</v>
      </c>
      <c r="C3684" t="s">
        <v>2846</v>
      </c>
      <c r="D3684" t="s">
        <v>3633</v>
      </c>
      <c r="E3684" s="2">
        <v>0.13</v>
      </c>
      <c r="F3684" t="s">
        <v>239</v>
      </c>
      <c r="G3684" t="s">
        <v>25</v>
      </c>
      <c r="H3684" t="s">
        <v>25</v>
      </c>
      <c r="I3684"/>
    </row>
    <row r="3685" spans="1:9">
      <c r="A3685" t="s">
        <v>3488</v>
      </c>
      <c r="B3685" s="1" t="str">
        <f>"20019846"</f>
        <v>20019846</v>
      </c>
      <c r="C3685" t="s">
        <v>2846</v>
      </c>
      <c r="D3685" t="s">
        <v>3634</v>
      </c>
      <c r="E3685" s="2"/>
      <c r="F3685" t="s">
        <v>239</v>
      </c>
      <c r="G3685" t="s">
        <v>25</v>
      </c>
      <c r="H3685" t="s">
        <v>25</v>
      </c>
      <c r="I3685"/>
    </row>
    <row r="3686" spans="1:9">
      <c r="A3686" t="s">
        <v>3488</v>
      </c>
      <c r="B3686" s="1" t="str">
        <f>"20225551"</f>
        <v>20225551</v>
      </c>
      <c r="C3686" t="s">
        <v>2846</v>
      </c>
      <c r="D3686" t="s">
        <v>3635</v>
      </c>
      <c r="E3686" s="2"/>
      <c r="F3686" t="s">
        <v>239</v>
      </c>
      <c r="G3686" t="s">
        <v>25</v>
      </c>
      <c r="H3686" t="s">
        <v>25</v>
      </c>
      <c r="I3686"/>
    </row>
    <row r="3687" spans="1:9">
      <c r="A3687" t="s">
        <v>3488</v>
      </c>
      <c r="B3687" s="1" t="str">
        <f>"20278502"</f>
        <v>20278502</v>
      </c>
      <c r="C3687" t="s">
        <v>2846</v>
      </c>
      <c r="D3687" t="s">
        <v>3636</v>
      </c>
      <c r="E3687" s="2"/>
      <c r="F3687" t="s">
        <v>3630</v>
      </c>
      <c r="G3687" t="s">
        <v>44</v>
      </c>
      <c r="H3687" t="s">
        <v>44</v>
      </c>
      <c r="I3687"/>
    </row>
    <row r="3688" spans="1:9">
      <c r="A3688" t="s">
        <v>3488</v>
      </c>
      <c r="B3688" s="1" t="str">
        <f>"12504312"</f>
        <v>12504312</v>
      </c>
      <c r="C3688" t="s">
        <v>2846</v>
      </c>
      <c r="D3688" t="s">
        <v>3637</v>
      </c>
      <c r="E3688" s="2">
        <v>0.105</v>
      </c>
      <c r="F3688" t="s">
        <v>239</v>
      </c>
      <c r="G3688" t="s">
        <v>25</v>
      </c>
      <c r="H3688" t="s">
        <v>25</v>
      </c>
      <c r="I3688"/>
    </row>
    <row r="3689" spans="1:9">
      <c r="A3689" t="s">
        <v>3488</v>
      </c>
      <c r="B3689" s="1" t="str">
        <f>"12013014"</f>
        <v>12013014</v>
      </c>
      <c r="C3689" t="s">
        <v>2846</v>
      </c>
      <c r="D3689" t="s">
        <v>3638</v>
      </c>
      <c r="E3689" s="2">
        <v>0.12</v>
      </c>
      <c r="F3689" t="s">
        <v>239</v>
      </c>
      <c r="G3689" t="s">
        <v>25</v>
      </c>
      <c r="H3689" t="s">
        <v>25</v>
      </c>
      <c r="I3689"/>
    </row>
    <row r="3690" spans="1:9">
      <c r="A3690" t="s">
        <v>3488</v>
      </c>
      <c r="B3690" s="1" t="str">
        <f>"12013091"</f>
        <v>12013091</v>
      </c>
      <c r="C3690" t="s">
        <v>2846</v>
      </c>
      <c r="D3690" t="s">
        <v>3639</v>
      </c>
      <c r="E3690" s="2"/>
      <c r="F3690" t="s">
        <v>239</v>
      </c>
      <c r="G3690" t="s">
        <v>25</v>
      </c>
      <c r="H3690" t="s">
        <v>25</v>
      </c>
      <c r="I3690"/>
    </row>
    <row r="3691" spans="1:9">
      <c r="A3691" t="s">
        <v>3488</v>
      </c>
      <c r="B3691" s="1" t="str">
        <f>"12192616"</f>
        <v>12192616</v>
      </c>
      <c r="C3691" t="s">
        <v>2846</v>
      </c>
      <c r="D3691" t="s">
        <v>3640</v>
      </c>
      <c r="E3691" s="2">
        <v>0.125</v>
      </c>
      <c r="F3691" t="s">
        <v>239</v>
      </c>
      <c r="G3691" t="s">
        <v>25</v>
      </c>
      <c r="H3691" t="s">
        <v>25</v>
      </c>
      <c r="I3691"/>
    </row>
    <row r="3692" spans="1:9">
      <c r="A3692" t="s">
        <v>3488</v>
      </c>
      <c r="B3692" s="1" t="str">
        <f>"20246693"</f>
        <v>20246693</v>
      </c>
      <c r="C3692" t="s">
        <v>2846</v>
      </c>
      <c r="D3692" t="s">
        <v>3641</v>
      </c>
      <c r="E3692" s="2"/>
      <c r="F3692" t="s">
        <v>239</v>
      </c>
      <c r="G3692" t="s">
        <v>25</v>
      </c>
      <c r="H3692" t="s">
        <v>25</v>
      </c>
      <c r="I3692"/>
    </row>
    <row r="3693" spans="1:9">
      <c r="A3693" t="s">
        <v>3488</v>
      </c>
      <c r="B3693" s="1" t="str">
        <f>"20027872"</f>
        <v>20027872</v>
      </c>
      <c r="C3693" t="s">
        <v>2846</v>
      </c>
      <c r="D3693" t="s">
        <v>3642</v>
      </c>
      <c r="E3693" s="2"/>
      <c r="F3693" t="s">
        <v>239</v>
      </c>
      <c r="G3693" t="s">
        <v>25</v>
      </c>
      <c r="H3693" t="s">
        <v>25</v>
      </c>
      <c r="I3693"/>
    </row>
    <row r="3694" spans="1:9">
      <c r="A3694" t="s">
        <v>3488</v>
      </c>
      <c r="B3694" s="1" t="str">
        <f>"20225537"</f>
        <v>20225537</v>
      </c>
      <c r="C3694" t="s">
        <v>2846</v>
      </c>
      <c r="D3694" t="s">
        <v>3643</v>
      </c>
      <c r="E3694" s="2"/>
      <c r="F3694" t="s">
        <v>239</v>
      </c>
      <c r="G3694" t="s">
        <v>25</v>
      </c>
      <c r="H3694" t="s">
        <v>25</v>
      </c>
      <c r="I3694"/>
    </row>
    <row r="3695" spans="1:9">
      <c r="A3695" t="s">
        <v>3488</v>
      </c>
      <c r="B3695" s="1" t="str">
        <f>"12013016"</f>
        <v>12013016</v>
      </c>
      <c r="C3695" t="s">
        <v>3644</v>
      </c>
      <c r="D3695" t="s">
        <v>3645</v>
      </c>
      <c r="E3695" s="2">
        <v>0.135</v>
      </c>
      <c r="F3695" t="s">
        <v>239</v>
      </c>
      <c r="G3695" t="s">
        <v>25</v>
      </c>
      <c r="H3695" t="s">
        <v>332</v>
      </c>
      <c r="I3695"/>
    </row>
    <row r="3696" spans="1:9">
      <c r="A3696" t="s">
        <v>3488</v>
      </c>
      <c r="B3696" s="1" t="str">
        <f>"12192600"</f>
        <v>12192600</v>
      </c>
      <c r="C3696" t="s">
        <v>3644</v>
      </c>
      <c r="D3696" t="s">
        <v>3646</v>
      </c>
      <c r="E3696" s="2">
        <v>0.13</v>
      </c>
      <c r="F3696" t="s">
        <v>239</v>
      </c>
      <c r="G3696" t="s">
        <v>25</v>
      </c>
      <c r="H3696" t="s">
        <v>332</v>
      </c>
      <c r="I3696"/>
    </row>
    <row r="3697" spans="1:9">
      <c r="A3697" t="s">
        <v>3488</v>
      </c>
      <c r="B3697" s="1" t="str">
        <f>"12013569"</f>
        <v>12013569</v>
      </c>
      <c r="C3697" t="s">
        <v>3644</v>
      </c>
      <c r="D3697" t="s">
        <v>3647</v>
      </c>
      <c r="E3697" s="2">
        <v>0.13</v>
      </c>
      <c r="F3697" t="s">
        <v>239</v>
      </c>
      <c r="G3697" t="s">
        <v>25</v>
      </c>
      <c r="H3697" t="s">
        <v>25</v>
      </c>
      <c r="I3697"/>
    </row>
    <row r="3698" spans="1:9">
      <c r="A3698" t="s">
        <v>3488</v>
      </c>
      <c r="B3698" s="1" t="str">
        <f>"12013595"</f>
        <v>12013595</v>
      </c>
      <c r="C3698" t="s">
        <v>3644</v>
      </c>
      <c r="D3698" t="s">
        <v>3648</v>
      </c>
      <c r="E3698" s="2">
        <v>0.125</v>
      </c>
      <c r="F3698" t="s">
        <v>239</v>
      </c>
      <c r="G3698" t="s">
        <v>2780</v>
      </c>
      <c r="H3698" t="s">
        <v>2780</v>
      </c>
      <c r="I3698"/>
    </row>
    <row r="3699" spans="1:9">
      <c r="A3699" t="s">
        <v>3488</v>
      </c>
      <c r="B3699" s="1" t="str">
        <f>"12860108"</f>
        <v>12860108</v>
      </c>
      <c r="C3699" t="s">
        <v>3644</v>
      </c>
      <c r="D3699" t="s">
        <v>3649</v>
      </c>
      <c r="E3699" s="2">
        <v>0.125</v>
      </c>
      <c r="F3699" t="s">
        <v>239</v>
      </c>
      <c r="G3699"/>
      <c r="H3699" t="s">
        <v>25</v>
      </c>
      <c r="I3699"/>
    </row>
    <row r="3700" spans="1:9">
      <c r="A3700" t="s">
        <v>3488</v>
      </c>
      <c r="B3700" s="1" t="str">
        <f>"12013553"</f>
        <v>12013553</v>
      </c>
      <c r="C3700" t="s">
        <v>3650</v>
      </c>
      <c r="D3700" t="s">
        <v>3651</v>
      </c>
      <c r="E3700" s="2"/>
      <c r="F3700" t="s">
        <v>239</v>
      </c>
      <c r="G3700" t="s">
        <v>25</v>
      </c>
      <c r="H3700" t="s">
        <v>25</v>
      </c>
      <c r="I3700"/>
    </row>
    <row r="3701" spans="1:9">
      <c r="A3701" t="s">
        <v>3488</v>
      </c>
      <c r="B3701" s="1" t="str">
        <f>"12013556"</f>
        <v>12013556</v>
      </c>
      <c r="C3701" t="s">
        <v>3650</v>
      </c>
      <c r="D3701" t="s">
        <v>3652</v>
      </c>
      <c r="E3701" s="2"/>
      <c r="F3701" t="s">
        <v>239</v>
      </c>
      <c r="G3701" t="s">
        <v>25</v>
      </c>
      <c r="H3701" t="s">
        <v>25</v>
      </c>
      <c r="I3701"/>
    </row>
    <row r="3702" spans="1:9">
      <c r="A3702" t="s">
        <v>3488</v>
      </c>
      <c r="B3702" s="1" t="str">
        <f>"12013099"</f>
        <v>12013099</v>
      </c>
      <c r="C3702" t="s">
        <v>3650</v>
      </c>
      <c r="D3702" t="s">
        <v>3653</v>
      </c>
      <c r="E3702" s="2"/>
      <c r="F3702" t="s">
        <v>239</v>
      </c>
      <c r="G3702" t="s">
        <v>25</v>
      </c>
      <c r="H3702" t="s">
        <v>25</v>
      </c>
      <c r="I3702"/>
    </row>
    <row r="3703" spans="1:9">
      <c r="A3703" t="s">
        <v>3488</v>
      </c>
      <c r="B3703" s="1" t="str">
        <f>"12021084"</f>
        <v>12021084</v>
      </c>
      <c r="C3703" t="s">
        <v>3654</v>
      </c>
      <c r="D3703" t="s">
        <v>3655</v>
      </c>
      <c r="E3703" s="2">
        <v>0.125</v>
      </c>
      <c r="F3703" t="s">
        <v>239</v>
      </c>
      <c r="G3703" t="s">
        <v>2780</v>
      </c>
      <c r="H3703" t="s">
        <v>2780</v>
      </c>
      <c r="I3703"/>
    </row>
    <row r="3704" spans="1:9">
      <c r="A3704" t="s">
        <v>3488</v>
      </c>
      <c r="B3704" s="1" t="str">
        <f>"12023012"</f>
        <v>12023012</v>
      </c>
      <c r="C3704" t="s">
        <v>3656</v>
      </c>
      <c r="D3704" t="s">
        <v>3657</v>
      </c>
      <c r="E3704" s="2">
        <v>0.135</v>
      </c>
      <c r="F3704" t="s">
        <v>239</v>
      </c>
      <c r="G3704" t="s">
        <v>360</v>
      </c>
      <c r="H3704" t="s">
        <v>240</v>
      </c>
      <c r="I3704"/>
    </row>
    <row r="3705" spans="1:9">
      <c r="A3705" t="s">
        <v>3488</v>
      </c>
      <c r="B3705" s="1" t="str">
        <f>"20166977"</f>
        <v>20166977</v>
      </c>
      <c r="C3705" t="s">
        <v>3656</v>
      </c>
      <c r="D3705" t="s">
        <v>3658</v>
      </c>
      <c r="E3705" s="2">
        <v>0.125</v>
      </c>
      <c r="F3705" t="s">
        <v>239</v>
      </c>
      <c r="G3705" t="s">
        <v>25</v>
      </c>
      <c r="H3705" t="s">
        <v>25</v>
      </c>
      <c r="I3705"/>
    </row>
    <row r="3706" spans="1:9">
      <c r="A3706" t="s">
        <v>3488</v>
      </c>
      <c r="B3706" s="1" t="str">
        <f>"12020033"</f>
        <v>12020033</v>
      </c>
      <c r="C3706" t="s">
        <v>3656</v>
      </c>
      <c r="D3706" t="s">
        <v>3659</v>
      </c>
      <c r="E3706" s="2">
        <v>0.135</v>
      </c>
      <c r="F3706" t="s">
        <v>239</v>
      </c>
      <c r="G3706" t="s">
        <v>25</v>
      </c>
      <c r="H3706" t="s">
        <v>332</v>
      </c>
      <c r="I3706"/>
    </row>
    <row r="3707" spans="1:9">
      <c r="A3707" t="s">
        <v>3488</v>
      </c>
      <c r="B3707" s="1" t="str">
        <f>"12020034"</f>
        <v>12020034</v>
      </c>
      <c r="C3707" t="s">
        <v>3656</v>
      </c>
      <c r="D3707" t="s">
        <v>3660</v>
      </c>
      <c r="E3707" s="2">
        <v>0.135</v>
      </c>
      <c r="F3707" t="s">
        <v>239</v>
      </c>
      <c r="G3707" t="s">
        <v>25</v>
      </c>
      <c r="H3707" t="s">
        <v>332</v>
      </c>
      <c r="I3707"/>
    </row>
    <row r="3708" spans="1:9">
      <c r="A3708" t="s">
        <v>3488</v>
      </c>
      <c r="B3708" s="1" t="str">
        <f>"12013480"</f>
        <v>12013480</v>
      </c>
      <c r="C3708" t="s">
        <v>3656</v>
      </c>
      <c r="D3708" t="s">
        <v>3661</v>
      </c>
      <c r="E3708" s="2"/>
      <c r="F3708" t="s">
        <v>239</v>
      </c>
      <c r="G3708" t="s">
        <v>29</v>
      </c>
      <c r="H3708" t="s">
        <v>332</v>
      </c>
      <c r="I3708"/>
    </row>
    <row r="3709" spans="1:9">
      <c r="A3709" t="s">
        <v>3488</v>
      </c>
      <c r="B3709" s="1" t="str">
        <f>"12013450"</f>
        <v>12013450</v>
      </c>
      <c r="C3709" t="s">
        <v>3656</v>
      </c>
      <c r="D3709" t="s">
        <v>3662</v>
      </c>
      <c r="E3709" s="2">
        <v>0.135</v>
      </c>
      <c r="F3709" t="s">
        <v>239</v>
      </c>
      <c r="G3709" t="s">
        <v>25</v>
      </c>
      <c r="H3709" t="s">
        <v>25</v>
      </c>
      <c r="I3709"/>
    </row>
    <row r="3710" spans="1:9">
      <c r="A3710" t="s">
        <v>3488</v>
      </c>
      <c r="B3710" s="1" t="str">
        <f>"24325510"</f>
        <v>24325510</v>
      </c>
      <c r="C3710" t="s">
        <v>3656</v>
      </c>
      <c r="D3710" t="s">
        <v>3663</v>
      </c>
      <c r="E3710" s="2"/>
      <c r="F3710" t="s">
        <v>239</v>
      </c>
      <c r="G3710" t="s">
        <v>25</v>
      </c>
      <c r="H3710" t="s">
        <v>25</v>
      </c>
      <c r="I3710"/>
    </row>
    <row r="3711" spans="1:9">
      <c r="A3711" t="s">
        <v>3488</v>
      </c>
      <c r="B3711" s="1" t="str">
        <f>"12013460"</f>
        <v>12013460</v>
      </c>
      <c r="C3711" t="s">
        <v>3664</v>
      </c>
      <c r="D3711" t="s">
        <v>3665</v>
      </c>
      <c r="E3711" s="2">
        <v>0.13</v>
      </c>
      <c r="F3711" t="s">
        <v>239</v>
      </c>
      <c r="G3711" t="s">
        <v>25</v>
      </c>
      <c r="H3711" t="s">
        <v>25</v>
      </c>
      <c r="I3711"/>
    </row>
    <row r="3712" spans="1:9">
      <c r="A3712" t="s">
        <v>3488</v>
      </c>
      <c r="B3712" s="1" t="str">
        <f>"12013557"</f>
        <v>12013557</v>
      </c>
      <c r="C3712" t="s">
        <v>3664</v>
      </c>
      <c r="D3712" t="s">
        <v>3666</v>
      </c>
      <c r="E3712" s="2">
        <v>0.12</v>
      </c>
      <c r="F3712" t="s">
        <v>239</v>
      </c>
      <c r="G3712" t="s">
        <v>25</v>
      </c>
      <c r="H3712" t="s">
        <v>25</v>
      </c>
      <c r="I3712"/>
    </row>
    <row r="3713" spans="1:9">
      <c r="A3713" t="s">
        <v>3488</v>
      </c>
      <c r="B3713" s="1" t="str">
        <f>"12191324"</f>
        <v>12191324</v>
      </c>
      <c r="C3713" t="s">
        <v>3664</v>
      </c>
      <c r="D3713" t="s">
        <v>3667</v>
      </c>
      <c r="E3713" s="2">
        <v>0.14</v>
      </c>
      <c r="F3713" t="s">
        <v>239</v>
      </c>
      <c r="G3713" t="s">
        <v>25</v>
      </c>
      <c r="H3713" t="s">
        <v>332</v>
      </c>
      <c r="I3713"/>
    </row>
    <row r="3714" spans="1:9">
      <c r="A3714" t="s">
        <v>3488</v>
      </c>
      <c r="B3714" s="1" t="str">
        <f>"12013482"</f>
        <v>12013482</v>
      </c>
      <c r="C3714" t="s">
        <v>3664</v>
      </c>
      <c r="D3714" t="s">
        <v>3668</v>
      </c>
      <c r="E3714" s="2">
        <v>0.13</v>
      </c>
      <c r="F3714" t="s">
        <v>239</v>
      </c>
      <c r="G3714"/>
      <c r="H3714" t="s">
        <v>2780</v>
      </c>
      <c r="I3714"/>
    </row>
    <row r="3715" spans="1:9">
      <c r="A3715" t="s">
        <v>3488</v>
      </c>
      <c r="B3715" s="1" t="str">
        <f>"12013592"</f>
        <v>12013592</v>
      </c>
      <c r="C3715" t="s">
        <v>3664</v>
      </c>
      <c r="D3715" t="s">
        <v>3669</v>
      </c>
      <c r="E3715" s="2">
        <v>0.135</v>
      </c>
      <c r="F3715" t="s">
        <v>239</v>
      </c>
      <c r="G3715"/>
      <c r="H3715" t="s">
        <v>2780</v>
      </c>
      <c r="I3715"/>
    </row>
    <row r="3716" spans="1:9">
      <c r="A3716" t="s">
        <v>3488</v>
      </c>
      <c r="B3716" s="1" t="str">
        <f>"12013483"</f>
        <v>12013483</v>
      </c>
      <c r="C3716" t="s">
        <v>3664</v>
      </c>
      <c r="D3716" t="s">
        <v>3670</v>
      </c>
      <c r="E3716" s="2"/>
      <c r="F3716" t="s">
        <v>239</v>
      </c>
      <c r="G3716" t="s">
        <v>25</v>
      </c>
      <c r="H3716" t="s">
        <v>25</v>
      </c>
      <c r="I3716"/>
    </row>
    <row r="3717" spans="1:9">
      <c r="A3717" t="s">
        <v>3671</v>
      </c>
      <c r="B3717" s="1" t="str">
        <f>"12860114"</f>
        <v>12860114</v>
      </c>
      <c r="C3717" t="s">
        <v>3672</v>
      </c>
      <c r="D3717" t="s">
        <v>3673</v>
      </c>
      <c r="E3717" s="2">
        <v>0.14</v>
      </c>
      <c r="F3717" t="s">
        <v>239</v>
      </c>
      <c r="G3717"/>
      <c r="H3717" t="s">
        <v>25</v>
      </c>
      <c r="I3717"/>
    </row>
    <row r="3718" spans="1:9">
      <c r="A3718" t="s">
        <v>3671</v>
      </c>
      <c r="B3718" s="1" t="str">
        <f>"12860115"</f>
        <v>12860115</v>
      </c>
      <c r="C3718" t="s">
        <v>3672</v>
      </c>
      <c r="D3718" t="s">
        <v>3674</v>
      </c>
      <c r="E3718" s="2">
        <v>0.14</v>
      </c>
      <c r="F3718" t="s">
        <v>239</v>
      </c>
      <c r="G3718"/>
      <c r="H3718" t="s">
        <v>25</v>
      </c>
      <c r="I3718"/>
    </row>
    <row r="3719" spans="1:9">
      <c r="A3719" t="s">
        <v>3671</v>
      </c>
      <c r="B3719" s="1" t="str">
        <f>"12013142"</f>
        <v>12013142</v>
      </c>
      <c r="C3719" t="s">
        <v>3672</v>
      </c>
      <c r="D3719" t="s">
        <v>3675</v>
      </c>
      <c r="E3719" s="2">
        <v>0.145</v>
      </c>
      <c r="F3719" t="s">
        <v>239</v>
      </c>
      <c r="G3719" t="s">
        <v>29</v>
      </c>
      <c r="H3719" t="s">
        <v>332</v>
      </c>
      <c r="I3719"/>
    </row>
    <row r="3720" spans="1:9">
      <c r="A3720" t="s">
        <v>3671</v>
      </c>
      <c r="B3720" s="1" t="str">
        <f>"12013143"</f>
        <v>12013143</v>
      </c>
      <c r="C3720" t="s">
        <v>3672</v>
      </c>
      <c r="D3720" t="s">
        <v>3676</v>
      </c>
      <c r="E3720" s="2">
        <v>0.125</v>
      </c>
      <c r="F3720" t="s">
        <v>239</v>
      </c>
      <c r="G3720" t="s">
        <v>25</v>
      </c>
      <c r="H3720" t="s">
        <v>25</v>
      </c>
      <c r="I3720"/>
    </row>
    <row r="3721" spans="1:9">
      <c r="A3721" t="s">
        <v>3671</v>
      </c>
      <c r="B3721" s="1" t="str">
        <f>"12016616"</f>
        <v>12016616</v>
      </c>
      <c r="C3721" t="s">
        <v>3677</v>
      </c>
      <c r="D3721" t="s">
        <v>3678</v>
      </c>
      <c r="E3721" s="2">
        <v>0.135</v>
      </c>
      <c r="F3721" t="s">
        <v>239</v>
      </c>
      <c r="G3721" t="s">
        <v>25</v>
      </c>
      <c r="H3721" t="s">
        <v>25</v>
      </c>
      <c r="I3721"/>
    </row>
    <row r="3722" spans="1:9">
      <c r="A3722" t="s">
        <v>3671</v>
      </c>
      <c r="B3722" s="1" t="str">
        <f>"12016614"</f>
        <v>12016614</v>
      </c>
      <c r="C3722" t="s">
        <v>3677</v>
      </c>
      <c r="D3722" t="s">
        <v>3679</v>
      </c>
      <c r="E3722" s="2">
        <v>0.135</v>
      </c>
      <c r="F3722" t="s">
        <v>239</v>
      </c>
      <c r="G3722" t="s">
        <v>25</v>
      </c>
      <c r="H3722" t="s">
        <v>25</v>
      </c>
      <c r="I3722"/>
    </row>
    <row r="3723" spans="1:9">
      <c r="A3723" t="s">
        <v>3671</v>
      </c>
      <c r="B3723" s="1" t="str">
        <f>"12016615"</f>
        <v>12016615</v>
      </c>
      <c r="C3723" t="s">
        <v>3677</v>
      </c>
      <c r="D3723" t="s">
        <v>3680</v>
      </c>
      <c r="E3723" s="2">
        <v>0.145</v>
      </c>
      <c r="F3723" t="s">
        <v>239</v>
      </c>
      <c r="G3723" t="s">
        <v>25</v>
      </c>
      <c r="H3723" t="s">
        <v>25</v>
      </c>
      <c r="I3723"/>
    </row>
    <row r="3724" spans="1:9">
      <c r="A3724" t="s">
        <v>3671</v>
      </c>
      <c r="B3724" s="1" t="str">
        <f>"12013518"</f>
        <v>12013518</v>
      </c>
      <c r="C3724" t="s">
        <v>3677</v>
      </c>
      <c r="D3724" t="s">
        <v>3681</v>
      </c>
      <c r="E3724" s="2"/>
      <c r="F3724" t="s">
        <v>239</v>
      </c>
      <c r="G3724" t="s">
        <v>25</v>
      </c>
      <c r="H3724" t="s">
        <v>25</v>
      </c>
      <c r="I3724"/>
    </row>
    <row r="3725" spans="1:9">
      <c r="A3725" t="s">
        <v>3671</v>
      </c>
      <c r="B3725" s="1" t="str">
        <f>"12016554"</f>
        <v>12016554</v>
      </c>
      <c r="C3725" t="s">
        <v>3677</v>
      </c>
      <c r="D3725" t="s">
        <v>3682</v>
      </c>
      <c r="E3725" s="2">
        <v>0.135</v>
      </c>
      <c r="F3725" t="s">
        <v>239</v>
      </c>
      <c r="G3725" t="s">
        <v>25</v>
      </c>
      <c r="H3725" t="s">
        <v>25</v>
      </c>
      <c r="I3725"/>
    </row>
    <row r="3726" spans="1:9">
      <c r="A3726" t="s">
        <v>3671</v>
      </c>
      <c r="B3726" s="1" t="str">
        <f>"12016555"</f>
        <v>12016555</v>
      </c>
      <c r="C3726" t="s">
        <v>3677</v>
      </c>
      <c r="D3726" t="s">
        <v>3683</v>
      </c>
      <c r="E3726" s="2">
        <v>0.135</v>
      </c>
      <c r="F3726" t="s">
        <v>239</v>
      </c>
      <c r="G3726" t="s">
        <v>25</v>
      </c>
      <c r="H3726" t="s">
        <v>25</v>
      </c>
      <c r="I3726"/>
    </row>
    <row r="3727" spans="1:9">
      <c r="A3727" t="s">
        <v>3671</v>
      </c>
      <c r="B3727" s="1" t="str">
        <f>"22659651"</f>
        <v>22659651</v>
      </c>
      <c r="C3727" t="s">
        <v>3677</v>
      </c>
      <c r="D3727" t="s">
        <v>3684</v>
      </c>
      <c r="E3727" s="2"/>
      <c r="F3727" t="s">
        <v>239</v>
      </c>
      <c r="G3727" t="s">
        <v>25</v>
      </c>
      <c r="H3727" t="s">
        <v>25</v>
      </c>
      <c r="I3727"/>
    </row>
    <row r="3728" spans="1:9">
      <c r="A3728" t="s">
        <v>3671</v>
      </c>
      <c r="B3728" s="1" t="str">
        <f>"12020001"</f>
        <v>12020001</v>
      </c>
      <c r="C3728" t="s">
        <v>3677</v>
      </c>
      <c r="D3728" t="s">
        <v>3685</v>
      </c>
      <c r="E3728" s="2">
        <v>0.145</v>
      </c>
      <c r="F3728" t="s">
        <v>239</v>
      </c>
      <c r="G3728" t="s">
        <v>25</v>
      </c>
      <c r="H3728" t="s">
        <v>332</v>
      </c>
      <c r="I3728"/>
    </row>
    <row r="3729" spans="1:9">
      <c r="A3729" t="s">
        <v>3671</v>
      </c>
      <c r="B3729" s="1" t="str">
        <f>"12192609"</f>
        <v>12192609</v>
      </c>
      <c r="C3729" t="s">
        <v>3677</v>
      </c>
      <c r="D3729" t="s">
        <v>3686</v>
      </c>
      <c r="E3729" s="2">
        <v>0.145</v>
      </c>
      <c r="F3729" t="s">
        <v>239</v>
      </c>
      <c r="G3729" t="s">
        <v>25</v>
      </c>
      <c r="H3729" t="s">
        <v>332</v>
      </c>
      <c r="I3729"/>
    </row>
    <row r="3730" spans="1:9">
      <c r="A3730" t="s">
        <v>3671</v>
      </c>
      <c r="B3730" s="1" t="str">
        <f>"12013435"</f>
        <v>12013435</v>
      </c>
      <c r="C3730" t="s">
        <v>3677</v>
      </c>
      <c r="D3730" t="s">
        <v>3687</v>
      </c>
      <c r="E3730" s="2">
        <v>0.135</v>
      </c>
      <c r="F3730" t="s">
        <v>239</v>
      </c>
      <c r="G3730" t="s">
        <v>25</v>
      </c>
      <c r="H3730" t="s">
        <v>25</v>
      </c>
      <c r="I3730"/>
    </row>
    <row r="3731" spans="1:9">
      <c r="A3731" t="s">
        <v>3671</v>
      </c>
      <c r="B3731" s="1" t="str">
        <f>"12013549"</f>
        <v>12013549</v>
      </c>
      <c r="C3731" t="s">
        <v>3677</v>
      </c>
      <c r="D3731" t="s">
        <v>3688</v>
      </c>
      <c r="E3731" s="2"/>
      <c r="F3731" t="s">
        <v>239</v>
      </c>
      <c r="G3731" t="s">
        <v>25</v>
      </c>
      <c r="H3731" t="s">
        <v>25</v>
      </c>
      <c r="I3731"/>
    </row>
    <row r="3732" spans="1:9">
      <c r="A3732" t="s">
        <v>3671</v>
      </c>
      <c r="B3732" s="1" t="str">
        <f>"12013550"</f>
        <v>12013550</v>
      </c>
      <c r="C3732" t="s">
        <v>3677</v>
      </c>
      <c r="D3732" t="s">
        <v>3689</v>
      </c>
      <c r="E3732" s="2"/>
      <c r="F3732" t="s">
        <v>239</v>
      </c>
      <c r="G3732" t="s">
        <v>25</v>
      </c>
      <c r="H3732" t="s">
        <v>25</v>
      </c>
      <c r="I3732"/>
    </row>
    <row r="3733" spans="1:9">
      <c r="A3733" t="s">
        <v>3671</v>
      </c>
      <c r="B3733" s="1" t="str">
        <f>"12013537"</f>
        <v>12013537</v>
      </c>
      <c r="C3733" t="s">
        <v>3677</v>
      </c>
      <c r="D3733" t="s">
        <v>3690</v>
      </c>
      <c r="E3733" s="2"/>
      <c r="F3733" t="s">
        <v>239</v>
      </c>
      <c r="G3733" t="s">
        <v>25</v>
      </c>
      <c r="H3733" t="s">
        <v>25</v>
      </c>
      <c r="I3733"/>
    </row>
    <row r="3734" spans="1:9">
      <c r="A3734" t="s">
        <v>3671</v>
      </c>
      <c r="B3734" s="1" t="str">
        <f>"20270841"</f>
        <v>20270841</v>
      </c>
      <c r="C3734" t="s">
        <v>3677</v>
      </c>
      <c r="D3734" t="s">
        <v>3691</v>
      </c>
      <c r="E3734" s="2"/>
      <c r="F3734" t="s">
        <v>12</v>
      </c>
      <c r="G3734" t="s">
        <v>25</v>
      </c>
      <c r="H3734" t="s">
        <v>25</v>
      </c>
      <c r="I3734"/>
    </row>
    <row r="3735" spans="1:9">
      <c r="A3735" t="s">
        <v>3671</v>
      </c>
      <c r="B3735" s="1" t="str">
        <f>"20139353"</f>
        <v>20139353</v>
      </c>
      <c r="C3735" t="s">
        <v>3692</v>
      </c>
      <c r="D3735" t="s">
        <v>3693</v>
      </c>
      <c r="E3735" s="2"/>
      <c r="F3735" t="s">
        <v>239</v>
      </c>
      <c r="G3735" t="s">
        <v>25</v>
      </c>
      <c r="H3735" t="s">
        <v>25</v>
      </c>
      <c r="I3735"/>
    </row>
    <row r="3736" spans="1:9">
      <c r="A3736" t="s">
        <v>3671</v>
      </c>
      <c r="B3736" s="1" t="str">
        <f>"12049132"</f>
        <v>12049132</v>
      </c>
      <c r="C3736" t="s">
        <v>3692</v>
      </c>
      <c r="D3736" t="s">
        <v>3694</v>
      </c>
      <c r="E3736" s="2">
        <v>0.135</v>
      </c>
      <c r="F3736" t="s">
        <v>239</v>
      </c>
      <c r="G3736" t="s">
        <v>25</v>
      </c>
      <c r="H3736" t="s">
        <v>25</v>
      </c>
      <c r="I3736"/>
    </row>
    <row r="3737" spans="1:9">
      <c r="A3737" t="s">
        <v>3671</v>
      </c>
      <c r="B3737" s="1" t="str">
        <f>"12192546"</f>
        <v>12192546</v>
      </c>
      <c r="C3737" t="s">
        <v>3692</v>
      </c>
      <c r="D3737" t="s">
        <v>3695</v>
      </c>
      <c r="E3737" s="2">
        <v>0.135</v>
      </c>
      <c r="F3737" t="s">
        <v>239</v>
      </c>
      <c r="G3737" t="s">
        <v>25</v>
      </c>
      <c r="H3737" t="s">
        <v>332</v>
      </c>
      <c r="I3737"/>
    </row>
    <row r="3738" spans="1:9">
      <c r="A3738" t="s">
        <v>3671</v>
      </c>
      <c r="B3738" s="1" t="str">
        <f>"12049130"</f>
        <v>12049130</v>
      </c>
      <c r="C3738" t="s">
        <v>3692</v>
      </c>
      <c r="D3738" t="s">
        <v>3696</v>
      </c>
      <c r="E3738" s="2"/>
      <c r="F3738" t="s">
        <v>239</v>
      </c>
      <c r="G3738" t="s">
        <v>25</v>
      </c>
      <c r="H3738" t="s">
        <v>25</v>
      </c>
      <c r="I3738"/>
    </row>
    <row r="3739" spans="1:9">
      <c r="A3739" t="s">
        <v>3671</v>
      </c>
      <c r="B3739" s="1" t="str">
        <f>"12192548"</f>
        <v>12192548</v>
      </c>
      <c r="C3739" t="s">
        <v>3692</v>
      </c>
      <c r="D3739" t="s">
        <v>3697</v>
      </c>
      <c r="E3739" s="2">
        <v>0.14</v>
      </c>
      <c r="F3739" t="s">
        <v>239</v>
      </c>
      <c r="G3739" t="s">
        <v>25</v>
      </c>
      <c r="H3739" t="s">
        <v>332</v>
      </c>
      <c r="I3739"/>
    </row>
    <row r="3740" spans="1:9">
      <c r="A3740" t="s">
        <v>3671</v>
      </c>
      <c r="B3740" s="1" t="str">
        <f>"12192550"</f>
        <v>12192550</v>
      </c>
      <c r="C3740" t="s">
        <v>3692</v>
      </c>
      <c r="D3740" t="s">
        <v>3698</v>
      </c>
      <c r="E3740" s="2">
        <v>0.14</v>
      </c>
      <c r="F3740" t="s">
        <v>239</v>
      </c>
      <c r="G3740" t="s">
        <v>25</v>
      </c>
      <c r="H3740" t="s">
        <v>332</v>
      </c>
      <c r="I3740"/>
    </row>
    <row r="3741" spans="1:9">
      <c r="A3741" t="s">
        <v>3671</v>
      </c>
      <c r="B3741" s="1" t="str">
        <f>"12192545"</f>
        <v>12192545</v>
      </c>
      <c r="C3741" t="s">
        <v>3692</v>
      </c>
      <c r="D3741" t="s">
        <v>3699</v>
      </c>
      <c r="E3741" s="2">
        <v>0.135</v>
      </c>
      <c r="F3741" t="s">
        <v>239</v>
      </c>
      <c r="G3741" t="s">
        <v>25</v>
      </c>
      <c r="H3741" t="s">
        <v>332</v>
      </c>
      <c r="I3741"/>
    </row>
    <row r="3742" spans="1:9">
      <c r="A3742" t="s">
        <v>3671</v>
      </c>
      <c r="B3742" s="1" t="str">
        <f>"12013437"</f>
        <v>12013437</v>
      </c>
      <c r="C3742" t="s">
        <v>3692</v>
      </c>
      <c r="D3742" t="s">
        <v>3700</v>
      </c>
      <c r="E3742" s="2">
        <v>0.14</v>
      </c>
      <c r="F3742" t="s">
        <v>239</v>
      </c>
      <c r="G3742" t="s">
        <v>29</v>
      </c>
      <c r="H3742" t="s">
        <v>25</v>
      </c>
      <c r="I3742"/>
    </row>
    <row r="3743" spans="1:9">
      <c r="A3743" t="s">
        <v>3671</v>
      </c>
      <c r="B3743" s="1" t="str">
        <f>"12860117"</f>
        <v>12860117</v>
      </c>
      <c r="C3743" t="s">
        <v>3692</v>
      </c>
      <c r="D3743" t="s">
        <v>3701</v>
      </c>
      <c r="E3743" s="2">
        <v>0.14</v>
      </c>
      <c r="F3743" t="s">
        <v>239</v>
      </c>
      <c r="G3743"/>
      <c r="H3743" t="s">
        <v>25</v>
      </c>
      <c r="I3743"/>
    </row>
    <row r="3744" spans="1:9">
      <c r="A3744" t="s">
        <v>3671</v>
      </c>
      <c r="B3744" s="1" t="str">
        <f>"12192502"</f>
        <v>12192502</v>
      </c>
      <c r="C3744" t="s">
        <v>3702</v>
      </c>
      <c r="D3744" t="s">
        <v>3703</v>
      </c>
      <c r="E3744" s="2">
        <v>0.135</v>
      </c>
      <c r="F3744" t="s">
        <v>239</v>
      </c>
      <c r="G3744" t="s">
        <v>25</v>
      </c>
      <c r="H3744" t="s">
        <v>25</v>
      </c>
      <c r="I3744"/>
    </row>
    <row r="3745" spans="1:9">
      <c r="A3745" t="s">
        <v>3671</v>
      </c>
      <c r="B3745" s="1" t="str">
        <f>"12013030"</f>
        <v>12013030</v>
      </c>
      <c r="C3745" t="s">
        <v>3702</v>
      </c>
      <c r="D3745" t="s">
        <v>3704</v>
      </c>
      <c r="E3745" s="2"/>
      <c r="F3745" t="s">
        <v>239</v>
      </c>
      <c r="G3745" t="s">
        <v>25</v>
      </c>
      <c r="H3745" t="s">
        <v>25</v>
      </c>
      <c r="I3745"/>
    </row>
    <row r="3746" spans="1:9">
      <c r="A3746" t="s">
        <v>3671</v>
      </c>
      <c r="B3746" s="1" t="str">
        <f>"12191302"</f>
        <v>12191302</v>
      </c>
      <c r="C3746" t="s">
        <v>3702</v>
      </c>
      <c r="D3746" t="s">
        <v>3705</v>
      </c>
      <c r="E3746" s="2">
        <v>0.115</v>
      </c>
      <c r="F3746" t="s">
        <v>239</v>
      </c>
      <c r="G3746" t="s">
        <v>25</v>
      </c>
      <c r="H3746" t="s">
        <v>25</v>
      </c>
      <c r="I3746"/>
    </row>
    <row r="3747" spans="1:9">
      <c r="A3747" t="s">
        <v>3671</v>
      </c>
      <c r="B3747" s="1" t="str">
        <f>"12859244"</f>
        <v>12859244</v>
      </c>
      <c r="C3747" t="s">
        <v>3702</v>
      </c>
      <c r="D3747" t="s">
        <v>3706</v>
      </c>
      <c r="E3747" s="2"/>
      <c r="F3747" t="s">
        <v>239</v>
      </c>
      <c r="G3747" t="s">
        <v>25</v>
      </c>
      <c r="H3747" t="s">
        <v>332</v>
      </c>
      <c r="I3747"/>
    </row>
    <row r="3748" spans="1:9">
      <c r="A3748" t="s">
        <v>3671</v>
      </c>
      <c r="B3748" s="1" t="str">
        <f>"12859246"</f>
        <v>12859246</v>
      </c>
      <c r="C3748" t="s">
        <v>3702</v>
      </c>
      <c r="D3748" t="s">
        <v>3707</v>
      </c>
      <c r="E3748" s="2"/>
      <c r="F3748" t="s">
        <v>239</v>
      </c>
      <c r="G3748" t="s">
        <v>25</v>
      </c>
      <c r="H3748" t="s">
        <v>332</v>
      </c>
      <c r="I3748"/>
    </row>
    <row r="3749" spans="1:9">
      <c r="A3749" t="s">
        <v>3671</v>
      </c>
      <c r="B3749" s="1" t="str">
        <f>"12859245"</f>
        <v>12859245</v>
      </c>
      <c r="C3749" t="s">
        <v>3702</v>
      </c>
      <c r="D3749" t="s">
        <v>3708</v>
      </c>
      <c r="E3749" s="2"/>
      <c r="F3749" t="s">
        <v>239</v>
      </c>
      <c r="G3749" t="s">
        <v>25</v>
      </c>
      <c r="H3749" t="s">
        <v>332</v>
      </c>
      <c r="I3749"/>
    </row>
    <row r="3750" spans="1:9">
      <c r="A3750" t="s">
        <v>3671</v>
      </c>
      <c r="B3750" s="1" t="str">
        <f>"12016629"</f>
        <v>12016629</v>
      </c>
      <c r="C3750" t="s">
        <v>3702</v>
      </c>
      <c r="D3750" t="s">
        <v>3709</v>
      </c>
      <c r="E3750" s="2"/>
      <c r="F3750" t="s">
        <v>239</v>
      </c>
      <c r="G3750" t="s">
        <v>25</v>
      </c>
      <c r="H3750" t="s">
        <v>25</v>
      </c>
      <c r="I3750"/>
    </row>
    <row r="3751" spans="1:9">
      <c r="A3751" t="s">
        <v>3671</v>
      </c>
      <c r="B3751" s="1" t="str">
        <f>"20920166"</f>
        <v>20920166</v>
      </c>
      <c r="C3751" t="s">
        <v>3702</v>
      </c>
      <c r="D3751" t="s">
        <v>3710</v>
      </c>
      <c r="E3751" s="2"/>
      <c r="F3751" t="s">
        <v>239</v>
      </c>
      <c r="G3751" t="s">
        <v>25</v>
      </c>
      <c r="H3751" t="s">
        <v>25</v>
      </c>
      <c r="I3751"/>
    </row>
    <row r="3752" spans="1:9">
      <c r="A3752" t="s">
        <v>3671</v>
      </c>
      <c r="B3752" s="1" t="str">
        <f>"20069542"</f>
        <v>20069542</v>
      </c>
      <c r="C3752" t="s">
        <v>3702</v>
      </c>
      <c r="D3752" t="s">
        <v>3711</v>
      </c>
      <c r="E3752" s="2"/>
      <c r="F3752" t="s">
        <v>239</v>
      </c>
      <c r="G3752" t="s">
        <v>25</v>
      </c>
      <c r="H3752" t="s">
        <v>25</v>
      </c>
      <c r="I3752"/>
    </row>
    <row r="3753" spans="1:9">
      <c r="A3753" t="s">
        <v>3671</v>
      </c>
      <c r="B3753" s="1" t="str">
        <f>"22983248"</f>
        <v>22983248</v>
      </c>
      <c r="C3753" t="s">
        <v>3702</v>
      </c>
      <c r="D3753" t="s">
        <v>3712</v>
      </c>
      <c r="E3753" s="2"/>
      <c r="F3753" t="s">
        <v>239</v>
      </c>
      <c r="G3753" t="s">
        <v>25</v>
      </c>
      <c r="H3753" t="s">
        <v>25</v>
      </c>
      <c r="I3753"/>
    </row>
    <row r="3754" spans="1:9">
      <c r="A3754" t="s">
        <v>3671</v>
      </c>
      <c r="B3754" s="1" t="str">
        <f>"20464796"</f>
        <v>20464796</v>
      </c>
      <c r="C3754" t="s">
        <v>3702</v>
      </c>
      <c r="D3754" t="s">
        <v>3713</v>
      </c>
      <c r="E3754" s="2"/>
      <c r="F3754" t="s">
        <v>239</v>
      </c>
      <c r="G3754" t="s">
        <v>25</v>
      </c>
      <c r="H3754" t="s">
        <v>25</v>
      </c>
      <c r="I3754"/>
    </row>
    <row r="3755" spans="1:9">
      <c r="A3755" t="s">
        <v>3671</v>
      </c>
      <c r="B3755" s="1" t="str">
        <f>"12860123"</f>
        <v>12860123</v>
      </c>
      <c r="C3755" t="s">
        <v>3702</v>
      </c>
      <c r="D3755" t="s">
        <v>3714</v>
      </c>
      <c r="E3755" s="2">
        <v>0.135</v>
      </c>
      <c r="F3755" t="s">
        <v>239</v>
      </c>
      <c r="G3755"/>
      <c r="H3755" t="s">
        <v>332</v>
      </c>
      <c r="I3755"/>
    </row>
    <row r="3756" spans="1:9">
      <c r="A3756" t="s">
        <v>3671</v>
      </c>
      <c r="B3756" s="1" t="str">
        <f>"12013149"</f>
        <v>12013149</v>
      </c>
      <c r="C3756" t="s">
        <v>3702</v>
      </c>
      <c r="D3756" t="s">
        <v>3715</v>
      </c>
      <c r="E3756" s="2">
        <v>0.13</v>
      </c>
      <c r="F3756" t="s">
        <v>239</v>
      </c>
      <c r="G3756" t="s">
        <v>25</v>
      </c>
      <c r="H3756" t="s">
        <v>332</v>
      </c>
      <c r="I3756"/>
    </row>
    <row r="3757" spans="1:9">
      <c r="A3757" t="s">
        <v>3671</v>
      </c>
      <c r="B3757" s="1" t="str">
        <f>"12023036"</f>
        <v>12023036</v>
      </c>
      <c r="C3757" t="s">
        <v>3702</v>
      </c>
      <c r="D3757" t="s">
        <v>3716</v>
      </c>
      <c r="E3757" s="2">
        <v>0.13</v>
      </c>
      <c r="F3757" t="s">
        <v>239</v>
      </c>
      <c r="G3757"/>
      <c r="H3757" t="s">
        <v>240</v>
      </c>
      <c r="I3757"/>
    </row>
    <row r="3758" spans="1:9">
      <c r="A3758" t="s">
        <v>3671</v>
      </c>
      <c r="B3758" s="1" t="str">
        <f>"12016570"</f>
        <v>12016570</v>
      </c>
      <c r="C3758" t="s">
        <v>3702</v>
      </c>
      <c r="D3758" t="s">
        <v>3717</v>
      </c>
      <c r="E3758" s="2"/>
      <c r="F3758" t="s">
        <v>239</v>
      </c>
      <c r="G3758" t="s">
        <v>25</v>
      </c>
      <c r="H3758" t="s">
        <v>332</v>
      </c>
      <c r="I3758"/>
    </row>
    <row r="3759" spans="1:9">
      <c r="A3759" t="s">
        <v>3671</v>
      </c>
      <c r="B3759" s="1" t="str">
        <f>"20500320"</f>
        <v>20500320</v>
      </c>
      <c r="C3759" t="s">
        <v>3702</v>
      </c>
      <c r="D3759" t="s">
        <v>3718</v>
      </c>
      <c r="E3759" s="2"/>
      <c r="F3759" t="s">
        <v>239</v>
      </c>
      <c r="G3759" t="s">
        <v>25</v>
      </c>
      <c r="H3759" t="s">
        <v>25</v>
      </c>
      <c r="I3759"/>
    </row>
    <row r="3760" spans="1:9">
      <c r="A3760" t="s">
        <v>3671</v>
      </c>
      <c r="B3760" s="1" t="str">
        <f>"12860122"</f>
        <v>12860122</v>
      </c>
      <c r="C3760" t="s">
        <v>3702</v>
      </c>
      <c r="D3760" t="s">
        <v>3719</v>
      </c>
      <c r="E3760" s="2">
        <v>0.13</v>
      </c>
      <c r="F3760" t="s">
        <v>239</v>
      </c>
      <c r="G3760"/>
      <c r="H3760" t="s">
        <v>2780</v>
      </c>
      <c r="I3760"/>
    </row>
    <row r="3761" spans="1:9">
      <c r="A3761" t="s">
        <v>3671</v>
      </c>
      <c r="B3761" s="1" t="str">
        <f>"12021049"</f>
        <v>12021049</v>
      </c>
      <c r="C3761" t="s">
        <v>3702</v>
      </c>
      <c r="D3761" t="s">
        <v>3720</v>
      </c>
      <c r="E3761" s="2">
        <v>0.14</v>
      </c>
      <c r="F3761" t="s">
        <v>239</v>
      </c>
      <c r="G3761" t="s">
        <v>2780</v>
      </c>
      <c r="H3761" t="s">
        <v>332</v>
      </c>
      <c r="I3761"/>
    </row>
    <row r="3762" spans="1:9">
      <c r="A3762" t="s">
        <v>3671</v>
      </c>
      <c r="B3762" s="1" t="str">
        <f>"12021050"</f>
        <v>12021050</v>
      </c>
      <c r="C3762" t="s">
        <v>3702</v>
      </c>
      <c r="D3762" t="s">
        <v>3721</v>
      </c>
      <c r="E3762" s="2">
        <v>0.14</v>
      </c>
      <c r="F3762" t="s">
        <v>239</v>
      </c>
      <c r="G3762" t="s">
        <v>2780</v>
      </c>
      <c r="H3762" t="s">
        <v>332</v>
      </c>
      <c r="I3762"/>
    </row>
    <row r="3763" spans="1:9">
      <c r="A3763" t="s">
        <v>3671</v>
      </c>
      <c r="B3763" s="1" t="str">
        <f>"12021051"</f>
        <v>12021051</v>
      </c>
      <c r="C3763" t="s">
        <v>3702</v>
      </c>
      <c r="D3763" t="s">
        <v>3722</v>
      </c>
      <c r="E3763" s="2">
        <v>0.135</v>
      </c>
      <c r="F3763" t="s">
        <v>239</v>
      </c>
      <c r="G3763" t="s">
        <v>2780</v>
      </c>
      <c r="H3763" t="s">
        <v>2780</v>
      </c>
      <c r="I3763"/>
    </row>
    <row r="3764" spans="1:9">
      <c r="A3764" t="s">
        <v>3671</v>
      </c>
      <c r="B3764" s="1" t="str">
        <f>"20797409"</f>
        <v>20797409</v>
      </c>
      <c r="C3764" t="s">
        <v>3702</v>
      </c>
      <c r="D3764" t="s">
        <v>3723</v>
      </c>
      <c r="E3764" s="2"/>
      <c r="F3764" t="s">
        <v>239</v>
      </c>
      <c r="G3764" t="s">
        <v>25</v>
      </c>
      <c r="H3764" t="s">
        <v>25</v>
      </c>
      <c r="I3764"/>
    </row>
    <row r="3765" spans="1:9">
      <c r="A3765" t="s">
        <v>3671</v>
      </c>
      <c r="B3765" s="1" t="str">
        <f>"20090531"</f>
        <v>20090531</v>
      </c>
      <c r="C3765" t="s">
        <v>3702</v>
      </c>
      <c r="D3765" t="s">
        <v>3724</v>
      </c>
      <c r="E3765" s="2"/>
      <c r="F3765" t="s">
        <v>239</v>
      </c>
      <c r="G3765" t="s">
        <v>25</v>
      </c>
      <c r="H3765" t="s">
        <v>25</v>
      </c>
      <c r="I3765"/>
    </row>
    <row r="3766" spans="1:9">
      <c r="A3766" t="s">
        <v>3671</v>
      </c>
      <c r="B3766" s="1" t="str">
        <f>"20959508"</f>
        <v>20959508</v>
      </c>
      <c r="C3766" t="s">
        <v>3702</v>
      </c>
      <c r="D3766" t="s">
        <v>3725</v>
      </c>
      <c r="E3766" s="2"/>
      <c r="F3766" t="s">
        <v>239</v>
      </c>
      <c r="G3766" t="s">
        <v>25</v>
      </c>
      <c r="H3766" t="s">
        <v>25</v>
      </c>
      <c r="I3766"/>
    </row>
    <row r="3767" spans="1:9">
      <c r="A3767" t="s">
        <v>3671</v>
      </c>
      <c r="B3767" s="1" t="str">
        <f>"20153304"</f>
        <v>20153304</v>
      </c>
      <c r="C3767" t="s">
        <v>3702</v>
      </c>
      <c r="D3767" t="s">
        <v>3726</v>
      </c>
      <c r="E3767" s="2"/>
      <c r="F3767" t="s">
        <v>239</v>
      </c>
      <c r="G3767" t="s">
        <v>25</v>
      </c>
      <c r="H3767" t="s">
        <v>25</v>
      </c>
      <c r="I3767"/>
    </row>
    <row r="3768" spans="1:9">
      <c r="A3768" t="s">
        <v>3671</v>
      </c>
      <c r="B3768" s="1" t="str">
        <f>"20020187"</f>
        <v>20020187</v>
      </c>
      <c r="C3768" t="s">
        <v>3702</v>
      </c>
      <c r="D3768" t="s">
        <v>3727</v>
      </c>
      <c r="E3768" s="2"/>
      <c r="F3768" t="s">
        <v>239</v>
      </c>
      <c r="G3768" t="s">
        <v>25</v>
      </c>
      <c r="H3768" t="s">
        <v>25</v>
      </c>
      <c r="I3768"/>
    </row>
    <row r="3769" spans="1:9">
      <c r="A3769" t="s">
        <v>3671</v>
      </c>
      <c r="B3769" s="1" t="str">
        <f>"20020392"</f>
        <v>20020392</v>
      </c>
      <c r="C3769" t="s">
        <v>3702</v>
      </c>
      <c r="D3769" t="s">
        <v>3728</v>
      </c>
      <c r="E3769" s="2"/>
      <c r="F3769" t="s">
        <v>239</v>
      </c>
      <c r="G3769" t="s">
        <v>25</v>
      </c>
      <c r="H3769" t="s">
        <v>25</v>
      </c>
      <c r="I3769"/>
    </row>
    <row r="3770" spans="1:9">
      <c r="A3770" t="s">
        <v>3671</v>
      </c>
      <c r="B3770" s="1" t="str">
        <f>"12192518"</f>
        <v>12192518</v>
      </c>
      <c r="C3770" t="s">
        <v>3729</v>
      </c>
      <c r="D3770" t="s">
        <v>3730</v>
      </c>
      <c r="E3770" s="2">
        <v>0.14</v>
      </c>
      <c r="F3770" t="s">
        <v>239</v>
      </c>
      <c r="G3770"/>
      <c r="H3770" t="s">
        <v>332</v>
      </c>
      <c r="I3770"/>
    </row>
    <row r="3771" spans="1:9">
      <c r="A3771" t="s">
        <v>3671</v>
      </c>
      <c r="B3771" s="1" t="str">
        <f>"12013101"</f>
        <v>12013101</v>
      </c>
      <c r="C3771" t="s">
        <v>3729</v>
      </c>
      <c r="D3771" t="s">
        <v>3731</v>
      </c>
      <c r="E3771" s="2"/>
      <c r="F3771" t="s">
        <v>239</v>
      </c>
      <c r="G3771" t="s">
        <v>29</v>
      </c>
      <c r="H3771" t="s">
        <v>332</v>
      </c>
      <c r="I3771"/>
    </row>
    <row r="3772" spans="1:9">
      <c r="A3772" t="s">
        <v>3671</v>
      </c>
      <c r="B3772" s="1" t="str">
        <f>"12013102"</f>
        <v>12013102</v>
      </c>
      <c r="C3772" t="s">
        <v>3729</v>
      </c>
      <c r="D3772" t="s">
        <v>3732</v>
      </c>
      <c r="E3772" s="2"/>
      <c r="F3772" t="s">
        <v>239</v>
      </c>
      <c r="G3772" t="s">
        <v>29</v>
      </c>
      <c r="H3772" t="s">
        <v>25</v>
      </c>
      <c r="I3772"/>
    </row>
    <row r="3773" spans="1:9">
      <c r="A3773" t="s">
        <v>3671</v>
      </c>
      <c r="B3773" s="1" t="str">
        <f>"12013519"</f>
        <v>12013519</v>
      </c>
      <c r="C3773" t="s">
        <v>3729</v>
      </c>
      <c r="D3773" t="s">
        <v>3733</v>
      </c>
      <c r="E3773" s="2"/>
      <c r="F3773" t="s">
        <v>239</v>
      </c>
      <c r="G3773" t="s">
        <v>25</v>
      </c>
      <c r="H3773" t="s">
        <v>332</v>
      </c>
      <c r="I3773"/>
    </row>
    <row r="3774" spans="1:9">
      <c r="A3774" t="s">
        <v>3671</v>
      </c>
      <c r="B3774" s="1" t="str">
        <f>"12020047"</f>
        <v>12020047</v>
      </c>
      <c r="C3774" t="s">
        <v>3729</v>
      </c>
      <c r="D3774" t="s">
        <v>3734</v>
      </c>
      <c r="E3774" s="2">
        <v>0.14</v>
      </c>
      <c r="F3774" t="s">
        <v>239</v>
      </c>
      <c r="G3774" t="s">
        <v>25</v>
      </c>
      <c r="H3774" t="s">
        <v>332</v>
      </c>
      <c r="I3774"/>
    </row>
    <row r="3775" spans="1:9">
      <c r="A3775" t="s">
        <v>3671</v>
      </c>
      <c r="B3775" s="1" t="str">
        <f>"12013584"</f>
        <v>12013584</v>
      </c>
      <c r="C3775" t="s">
        <v>3729</v>
      </c>
      <c r="D3775" t="s">
        <v>3735</v>
      </c>
      <c r="E3775" s="2"/>
      <c r="F3775" t="s">
        <v>239</v>
      </c>
      <c r="G3775" t="s">
        <v>25</v>
      </c>
      <c r="H3775" t="s">
        <v>25</v>
      </c>
      <c r="I3775"/>
    </row>
    <row r="3776" spans="1:9">
      <c r="A3776" t="s">
        <v>3671</v>
      </c>
      <c r="B3776" s="1" t="str">
        <f>"12191335"</f>
        <v>12191335</v>
      </c>
      <c r="C3776" t="s">
        <v>3729</v>
      </c>
      <c r="D3776" t="s">
        <v>3736</v>
      </c>
      <c r="E3776" s="2">
        <v>0.135</v>
      </c>
      <c r="F3776" t="s">
        <v>239</v>
      </c>
      <c r="G3776" t="s">
        <v>25</v>
      </c>
      <c r="H3776" t="s">
        <v>332</v>
      </c>
      <c r="I3776"/>
    </row>
    <row r="3777" spans="1:9">
      <c r="A3777" t="s">
        <v>3671</v>
      </c>
      <c r="B3777" s="1" t="str">
        <f>"12192566"</f>
        <v>12192566</v>
      </c>
      <c r="C3777" t="s">
        <v>3729</v>
      </c>
      <c r="D3777" t="s">
        <v>3737</v>
      </c>
      <c r="E3777" s="2">
        <v>0.135</v>
      </c>
      <c r="F3777" t="s">
        <v>239</v>
      </c>
      <c r="G3777" t="s">
        <v>25</v>
      </c>
      <c r="H3777" t="s">
        <v>25</v>
      </c>
      <c r="I3777"/>
    </row>
    <row r="3778" spans="1:9">
      <c r="A3778" t="s">
        <v>3671</v>
      </c>
      <c r="B3778" s="1" t="str">
        <f>"20115876"</f>
        <v>20115876</v>
      </c>
      <c r="C3778" t="s">
        <v>3729</v>
      </c>
      <c r="D3778" t="s">
        <v>3738</v>
      </c>
      <c r="E3778" s="2"/>
      <c r="F3778" t="s">
        <v>239</v>
      </c>
      <c r="G3778" t="s">
        <v>25</v>
      </c>
      <c r="H3778" t="s">
        <v>25</v>
      </c>
      <c r="I3778"/>
    </row>
    <row r="3779" spans="1:9">
      <c r="A3779" t="s">
        <v>3671</v>
      </c>
      <c r="B3779" s="1" t="str">
        <f>"12013103"</f>
        <v>12013103</v>
      </c>
      <c r="C3779" t="s">
        <v>3729</v>
      </c>
      <c r="D3779" t="s">
        <v>3739</v>
      </c>
      <c r="E3779" s="2"/>
      <c r="F3779" t="s">
        <v>239</v>
      </c>
      <c r="G3779" t="s">
        <v>25</v>
      </c>
      <c r="H3779" t="s">
        <v>332</v>
      </c>
      <c r="I3779"/>
    </row>
    <row r="3780" spans="1:9">
      <c r="A3780" t="s">
        <v>3671</v>
      </c>
      <c r="B3780" s="1" t="str">
        <f>"12013104"</f>
        <v>12013104</v>
      </c>
      <c r="C3780" t="s">
        <v>3729</v>
      </c>
      <c r="D3780" t="s">
        <v>3740</v>
      </c>
      <c r="E3780" s="2"/>
      <c r="F3780" t="s">
        <v>239</v>
      </c>
      <c r="G3780" t="s">
        <v>25</v>
      </c>
      <c r="H3780" t="s">
        <v>25</v>
      </c>
      <c r="I3780"/>
    </row>
    <row r="3781" spans="1:9">
      <c r="A3781" t="s">
        <v>3671</v>
      </c>
      <c r="B3781" s="1" t="str">
        <f>"12013521"</f>
        <v>12013521</v>
      </c>
      <c r="C3781" t="s">
        <v>3729</v>
      </c>
      <c r="D3781" t="s">
        <v>3741</v>
      </c>
      <c r="E3781" s="2"/>
      <c r="F3781" t="s">
        <v>239</v>
      </c>
      <c r="G3781" t="s">
        <v>29</v>
      </c>
      <c r="H3781" t="s">
        <v>29</v>
      </c>
      <c r="I3781"/>
    </row>
    <row r="3782" spans="1:9">
      <c r="A3782" t="s">
        <v>3671</v>
      </c>
      <c r="B3782" s="1" t="str">
        <f>"12013463"</f>
        <v>12013463</v>
      </c>
      <c r="C3782" t="s">
        <v>3729</v>
      </c>
      <c r="D3782" t="s">
        <v>3742</v>
      </c>
      <c r="E3782" s="2">
        <v>0.13</v>
      </c>
      <c r="F3782" t="s">
        <v>239</v>
      </c>
      <c r="G3782" t="s">
        <v>25</v>
      </c>
      <c r="H3782" t="s">
        <v>332</v>
      </c>
      <c r="I3782"/>
    </row>
    <row r="3783" spans="1:9">
      <c r="A3783" t="s">
        <v>3671</v>
      </c>
      <c r="B3783" s="1" t="str">
        <f>"12013520"</f>
        <v>12013520</v>
      </c>
      <c r="C3783" t="s">
        <v>3729</v>
      </c>
      <c r="D3783" t="s">
        <v>3743</v>
      </c>
      <c r="E3783" s="2"/>
      <c r="F3783" t="s">
        <v>239</v>
      </c>
      <c r="G3783" t="s">
        <v>25</v>
      </c>
      <c r="H3783" t="s">
        <v>25</v>
      </c>
      <c r="I3783"/>
    </row>
    <row r="3784" spans="1:9">
      <c r="A3784" t="s">
        <v>3671</v>
      </c>
      <c r="B3784" s="1" t="str">
        <f>"12013105"</f>
        <v>12013105</v>
      </c>
      <c r="C3784" t="s">
        <v>3729</v>
      </c>
      <c r="D3784" t="s">
        <v>3744</v>
      </c>
      <c r="E3784" s="2"/>
      <c r="F3784" t="s">
        <v>239</v>
      </c>
      <c r="G3784" t="s">
        <v>25</v>
      </c>
      <c r="H3784" t="s">
        <v>332</v>
      </c>
      <c r="I3784"/>
    </row>
    <row r="3785" spans="1:9">
      <c r="A3785" t="s">
        <v>3671</v>
      </c>
      <c r="B3785" s="1" t="str">
        <f>"20058727"</f>
        <v>20058727</v>
      </c>
      <c r="C3785" t="s">
        <v>3729</v>
      </c>
      <c r="D3785" t="s">
        <v>3745</v>
      </c>
      <c r="E3785" s="2"/>
      <c r="F3785" t="s">
        <v>239</v>
      </c>
      <c r="G3785" t="s">
        <v>25</v>
      </c>
      <c r="H3785" t="s">
        <v>25</v>
      </c>
      <c r="I3785"/>
    </row>
    <row r="3786" spans="1:9">
      <c r="A3786" t="s">
        <v>3671</v>
      </c>
      <c r="B3786" s="1" t="str">
        <f>"12013477"</f>
        <v>12013477</v>
      </c>
      <c r="C3786" t="s">
        <v>3729</v>
      </c>
      <c r="D3786" t="s">
        <v>3746</v>
      </c>
      <c r="E3786" s="2"/>
      <c r="F3786" t="s">
        <v>239</v>
      </c>
      <c r="G3786" t="s">
        <v>29</v>
      </c>
      <c r="H3786" t="s">
        <v>25</v>
      </c>
      <c r="I3786"/>
    </row>
    <row r="3787" spans="1:9">
      <c r="A3787" t="s">
        <v>3671</v>
      </c>
      <c r="B3787" s="1" t="str">
        <f>"12013478"</f>
        <v>12013478</v>
      </c>
      <c r="C3787" t="s">
        <v>3729</v>
      </c>
      <c r="D3787" t="s">
        <v>3747</v>
      </c>
      <c r="E3787" s="2"/>
      <c r="F3787" t="s">
        <v>239</v>
      </c>
      <c r="G3787" t="s">
        <v>29</v>
      </c>
      <c r="H3787" t="s">
        <v>332</v>
      </c>
      <c r="I3787"/>
    </row>
    <row r="3788" spans="1:9">
      <c r="A3788" t="s">
        <v>3671</v>
      </c>
      <c r="B3788" s="1" t="str">
        <f>"20058726"</f>
        <v>20058726</v>
      </c>
      <c r="C3788" t="s">
        <v>3729</v>
      </c>
      <c r="D3788" t="s">
        <v>3748</v>
      </c>
      <c r="E3788" s="2"/>
      <c r="F3788" t="s">
        <v>239</v>
      </c>
      <c r="G3788" t="s">
        <v>25</v>
      </c>
      <c r="H3788" t="s">
        <v>25</v>
      </c>
      <c r="I3788"/>
    </row>
    <row r="3789" spans="1:9">
      <c r="A3789" t="s">
        <v>3671</v>
      </c>
      <c r="B3789" s="1" t="str">
        <f>"12020048"</f>
        <v>12020048</v>
      </c>
      <c r="C3789" t="s">
        <v>3729</v>
      </c>
      <c r="D3789" t="s">
        <v>3749</v>
      </c>
      <c r="E3789" s="2">
        <v>0.145</v>
      </c>
      <c r="F3789" t="s">
        <v>239</v>
      </c>
      <c r="G3789" t="s">
        <v>25</v>
      </c>
      <c r="H3789" t="s">
        <v>332</v>
      </c>
      <c r="I3789"/>
    </row>
    <row r="3790" spans="1:9">
      <c r="A3790" t="s">
        <v>3671</v>
      </c>
      <c r="B3790" s="1" t="str">
        <f>"12013110"</f>
        <v>12013110</v>
      </c>
      <c r="C3790" t="s">
        <v>3729</v>
      </c>
      <c r="D3790" t="s">
        <v>3750</v>
      </c>
      <c r="E3790" s="2"/>
      <c r="F3790" t="s">
        <v>239</v>
      </c>
      <c r="G3790" t="s">
        <v>29</v>
      </c>
      <c r="H3790" t="s">
        <v>332</v>
      </c>
      <c r="I3790"/>
    </row>
    <row r="3791" spans="1:9">
      <c r="A3791" t="s">
        <v>3671</v>
      </c>
      <c r="B3791" s="1" t="str">
        <f>"12013111"</f>
        <v>12013111</v>
      </c>
      <c r="C3791" t="s">
        <v>3729</v>
      </c>
      <c r="D3791" t="s">
        <v>3751</v>
      </c>
      <c r="E3791" s="2"/>
      <c r="F3791" t="s">
        <v>239</v>
      </c>
      <c r="G3791" t="s">
        <v>29</v>
      </c>
      <c r="H3791" t="s">
        <v>25</v>
      </c>
      <c r="I3791"/>
    </row>
    <row r="3792" spans="1:9">
      <c r="A3792" t="s">
        <v>3671</v>
      </c>
      <c r="B3792" s="1" t="str">
        <f>"12020042"</f>
        <v>12020042</v>
      </c>
      <c r="C3792" t="s">
        <v>3729</v>
      </c>
      <c r="D3792" t="s">
        <v>3752</v>
      </c>
      <c r="E3792" s="2">
        <v>0.14</v>
      </c>
      <c r="F3792" t="s">
        <v>239</v>
      </c>
      <c r="G3792" t="s">
        <v>25</v>
      </c>
      <c r="H3792" t="s">
        <v>332</v>
      </c>
      <c r="I3792"/>
    </row>
    <row r="3793" spans="1:9">
      <c r="A3793" t="s">
        <v>3671</v>
      </c>
      <c r="B3793" s="1" t="str">
        <f>"12013587"</f>
        <v>12013587</v>
      </c>
      <c r="C3793" t="s">
        <v>3729</v>
      </c>
      <c r="D3793" t="s">
        <v>3753</v>
      </c>
      <c r="E3793" s="2"/>
      <c r="F3793" t="s">
        <v>239</v>
      </c>
      <c r="G3793" t="s">
        <v>29</v>
      </c>
      <c r="H3793" t="s">
        <v>332</v>
      </c>
      <c r="I3793"/>
    </row>
    <row r="3794" spans="1:9">
      <c r="A3794" t="s">
        <v>3671</v>
      </c>
      <c r="B3794" s="1" t="str">
        <f>"12020045"</f>
        <v>12020045</v>
      </c>
      <c r="C3794" t="s">
        <v>3729</v>
      </c>
      <c r="D3794" t="s">
        <v>3754</v>
      </c>
      <c r="E3794" s="2">
        <v>0.14</v>
      </c>
      <c r="F3794" t="s">
        <v>239</v>
      </c>
      <c r="G3794" t="s">
        <v>25</v>
      </c>
      <c r="H3794" t="s">
        <v>332</v>
      </c>
      <c r="I3794"/>
    </row>
    <row r="3795" spans="1:9">
      <c r="A3795" t="s">
        <v>3671</v>
      </c>
      <c r="B3795" s="1" t="str">
        <f>"12020046"</f>
        <v>12020046</v>
      </c>
      <c r="C3795" t="s">
        <v>3729</v>
      </c>
      <c r="D3795" t="s">
        <v>3755</v>
      </c>
      <c r="E3795" s="2">
        <v>0.15</v>
      </c>
      <c r="F3795" t="s">
        <v>239</v>
      </c>
      <c r="G3795" t="s">
        <v>25</v>
      </c>
      <c r="H3795" t="s">
        <v>332</v>
      </c>
      <c r="I3795"/>
    </row>
    <row r="3796" spans="1:9">
      <c r="A3796" t="s">
        <v>3671</v>
      </c>
      <c r="B3796" s="1" t="str">
        <f>"20113575"</f>
        <v>20113575</v>
      </c>
      <c r="C3796" t="s">
        <v>3729</v>
      </c>
      <c r="D3796" t="s">
        <v>3756</v>
      </c>
      <c r="E3796" s="2">
        <v>0.125</v>
      </c>
      <c r="F3796" t="s">
        <v>239</v>
      </c>
      <c r="G3796" t="s">
        <v>25</v>
      </c>
      <c r="H3796" t="s">
        <v>25</v>
      </c>
      <c r="I3796"/>
    </row>
    <row r="3797" spans="1:9">
      <c r="A3797" t="s">
        <v>3671</v>
      </c>
      <c r="B3797" s="1" t="str">
        <f>"20267735"</f>
        <v>20267735</v>
      </c>
      <c r="C3797" t="s">
        <v>3729</v>
      </c>
      <c r="D3797" t="s">
        <v>3757</v>
      </c>
      <c r="E3797" s="2"/>
      <c r="F3797" t="s">
        <v>3630</v>
      </c>
      <c r="G3797" t="s">
        <v>25</v>
      </c>
      <c r="H3797" t="s">
        <v>25</v>
      </c>
      <c r="I3797"/>
    </row>
    <row r="3798" spans="1:9">
      <c r="A3798" t="s">
        <v>3671</v>
      </c>
      <c r="B3798" s="1" t="str">
        <f>"12013499"</f>
        <v>12013499</v>
      </c>
      <c r="C3798" t="s">
        <v>3729</v>
      </c>
      <c r="D3798" t="s">
        <v>3758</v>
      </c>
      <c r="E3798" s="2"/>
      <c r="F3798" t="s">
        <v>239</v>
      </c>
      <c r="G3798" t="s">
        <v>25</v>
      </c>
      <c r="H3798" t="s">
        <v>332</v>
      </c>
      <c r="I3798"/>
    </row>
    <row r="3799" spans="1:9">
      <c r="A3799" t="s">
        <v>3671</v>
      </c>
      <c r="B3799" s="1" t="str">
        <f>"12013449"</f>
        <v>12013449</v>
      </c>
      <c r="C3799" t="s">
        <v>3729</v>
      </c>
      <c r="D3799" t="s">
        <v>3759</v>
      </c>
      <c r="E3799" s="2">
        <v>0.138</v>
      </c>
      <c r="F3799" t="s">
        <v>239</v>
      </c>
      <c r="G3799" t="s">
        <v>25</v>
      </c>
      <c r="H3799" t="s">
        <v>25</v>
      </c>
      <c r="I3799"/>
    </row>
    <row r="3800" spans="1:9">
      <c r="A3800" t="s">
        <v>3671</v>
      </c>
      <c r="B3800" s="1" t="str">
        <f>"12013470"</f>
        <v>12013470</v>
      </c>
      <c r="C3800" t="s">
        <v>3729</v>
      </c>
      <c r="D3800" t="s">
        <v>3760</v>
      </c>
      <c r="E3800" s="2">
        <v>0.136</v>
      </c>
      <c r="F3800" t="s">
        <v>239</v>
      </c>
      <c r="G3800" t="s">
        <v>25</v>
      </c>
      <c r="H3800" t="s">
        <v>25</v>
      </c>
      <c r="I3800"/>
    </row>
    <row r="3801" spans="1:9">
      <c r="A3801" t="s">
        <v>3671</v>
      </c>
      <c r="B3801" s="1" t="str">
        <f>"12013114"</f>
        <v>12013114</v>
      </c>
      <c r="C3801" t="s">
        <v>3729</v>
      </c>
      <c r="D3801" t="s">
        <v>3761</v>
      </c>
      <c r="E3801" s="2"/>
      <c r="F3801" t="s">
        <v>239</v>
      </c>
      <c r="G3801" t="s">
        <v>25</v>
      </c>
      <c r="H3801" t="s">
        <v>25</v>
      </c>
      <c r="I3801"/>
    </row>
    <row r="3802" spans="1:9">
      <c r="A3802" t="s">
        <v>3671</v>
      </c>
      <c r="B3802" s="1" t="str">
        <f>"12016578"</f>
        <v>12016578</v>
      </c>
      <c r="C3802" t="s">
        <v>237</v>
      </c>
      <c r="D3802" t="s">
        <v>3762</v>
      </c>
      <c r="E3802" s="2"/>
      <c r="F3802" t="s">
        <v>239</v>
      </c>
      <c r="G3802" t="s">
        <v>25</v>
      </c>
      <c r="H3802" t="s">
        <v>25</v>
      </c>
      <c r="I3802"/>
    </row>
    <row r="3803" spans="1:9">
      <c r="A3803" t="s">
        <v>3671</v>
      </c>
      <c r="B3803" s="1" t="str">
        <f>"12013903"</f>
        <v>12013903</v>
      </c>
      <c r="C3803" t="s">
        <v>237</v>
      </c>
      <c r="D3803" t="s">
        <v>3763</v>
      </c>
      <c r="E3803" s="2"/>
      <c r="F3803" t="s">
        <v>239</v>
      </c>
      <c r="G3803" t="s">
        <v>25</v>
      </c>
      <c r="H3803" t="s">
        <v>332</v>
      </c>
      <c r="I3803"/>
    </row>
    <row r="3804" spans="1:9">
      <c r="A3804" t="s">
        <v>3671</v>
      </c>
      <c r="B3804" s="1" t="str">
        <f>"12013864"</f>
        <v>12013864</v>
      </c>
      <c r="C3804" t="s">
        <v>237</v>
      </c>
      <c r="D3804" t="s">
        <v>3764</v>
      </c>
      <c r="E3804" s="2">
        <v>0.13</v>
      </c>
      <c r="F3804" t="s">
        <v>239</v>
      </c>
      <c r="G3804" t="s">
        <v>25</v>
      </c>
      <c r="H3804" t="s">
        <v>25</v>
      </c>
      <c r="I3804"/>
    </row>
    <row r="3805" spans="1:9">
      <c r="A3805" t="s">
        <v>3671</v>
      </c>
      <c r="B3805" s="1" t="str">
        <f>"12016580"</f>
        <v>12016580</v>
      </c>
      <c r="C3805" t="s">
        <v>237</v>
      </c>
      <c r="D3805" t="s">
        <v>3765</v>
      </c>
      <c r="E3805" s="2"/>
      <c r="F3805" t="s">
        <v>239</v>
      </c>
      <c r="G3805" t="s">
        <v>25</v>
      </c>
      <c r="H3805" t="s">
        <v>332</v>
      </c>
      <c r="I3805"/>
    </row>
    <row r="3806" spans="1:9">
      <c r="A3806" t="s">
        <v>3671</v>
      </c>
      <c r="B3806" s="1" t="str">
        <f>"12021067"</f>
        <v>12021067</v>
      </c>
      <c r="C3806" t="s">
        <v>237</v>
      </c>
      <c r="D3806" t="s">
        <v>3766</v>
      </c>
      <c r="E3806" s="2">
        <v>0.13</v>
      </c>
      <c r="F3806" t="s">
        <v>239</v>
      </c>
      <c r="G3806" t="s">
        <v>2780</v>
      </c>
      <c r="H3806" t="s">
        <v>332</v>
      </c>
      <c r="I3806"/>
    </row>
    <row r="3807" spans="1:9">
      <c r="A3807" t="s">
        <v>3671</v>
      </c>
      <c r="B3807" s="1" t="str">
        <f>"12016581"</f>
        <v>12016581</v>
      </c>
      <c r="C3807" t="s">
        <v>237</v>
      </c>
      <c r="D3807" t="s">
        <v>3767</v>
      </c>
      <c r="E3807" s="2"/>
      <c r="F3807" t="s">
        <v>239</v>
      </c>
      <c r="G3807" t="s">
        <v>25</v>
      </c>
      <c r="H3807" t="s">
        <v>332</v>
      </c>
      <c r="I3807"/>
    </row>
    <row r="3808" spans="1:9">
      <c r="A3808" t="s">
        <v>3671</v>
      </c>
      <c r="B3808" s="1" t="str">
        <f>"12013930"</f>
        <v>12013930</v>
      </c>
      <c r="C3808" t="s">
        <v>237</v>
      </c>
      <c r="D3808" t="s">
        <v>3768</v>
      </c>
      <c r="E3808" s="2"/>
      <c r="F3808" t="s">
        <v>239</v>
      </c>
      <c r="G3808" t="s">
        <v>25</v>
      </c>
      <c r="H3808" t="s">
        <v>332</v>
      </c>
      <c r="I3808"/>
    </row>
    <row r="3809" spans="1:9">
      <c r="A3809" t="s">
        <v>3671</v>
      </c>
      <c r="B3809" s="1" t="str">
        <f>"12016586"</f>
        <v>12016586</v>
      </c>
      <c r="C3809" t="s">
        <v>237</v>
      </c>
      <c r="D3809" t="s">
        <v>3769</v>
      </c>
      <c r="E3809" s="2"/>
      <c r="F3809" t="s">
        <v>239</v>
      </c>
      <c r="G3809" t="s">
        <v>25</v>
      </c>
      <c r="H3809" t="s">
        <v>25</v>
      </c>
      <c r="I3809"/>
    </row>
    <row r="3810" spans="1:9">
      <c r="A3810" t="s">
        <v>3671</v>
      </c>
      <c r="B3810" s="1" t="str">
        <f>"12016588"</f>
        <v>12016588</v>
      </c>
      <c r="C3810" t="s">
        <v>237</v>
      </c>
      <c r="D3810" t="s">
        <v>3770</v>
      </c>
      <c r="E3810" s="2"/>
      <c r="F3810" t="s">
        <v>239</v>
      </c>
      <c r="G3810" t="s">
        <v>25</v>
      </c>
      <c r="H3810" t="s">
        <v>332</v>
      </c>
      <c r="I3810"/>
    </row>
    <row r="3811" spans="1:9">
      <c r="A3811" t="s">
        <v>3671</v>
      </c>
      <c r="B3811" s="1" t="str">
        <f>"12013438"</f>
        <v>12013438</v>
      </c>
      <c r="C3811" t="s">
        <v>237</v>
      </c>
      <c r="D3811" t="s">
        <v>3771</v>
      </c>
      <c r="E3811" s="2"/>
      <c r="F3811" t="s">
        <v>239</v>
      </c>
      <c r="G3811" t="s">
        <v>29</v>
      </c>
      <c r="H3811" t="s">
        <v>25</v>
      </c>
      <c r="I3811"/>
    </row>
    <row r="3812" spans="1:9">
      <c r="A3812" t="s">
        <v>3671</v>
      </c>
      <c r="B3812" s="1" t="str">
        <f>"12013871"</f>
        <v>12013871</v>
      </c>
      <c r="C3812" t="s">
        <v>237</v>
      </c>
      <c r="D3812" t="s">
        <v>3772</v>
      </c>
      <c r="E3812" s="2">
        <v>0.13</v>
      </c>
      <c r="F3812" t="s">
        <v>239</v>
      </c>
      <c r="G3812" t="s">
        <v>25</v>
      </c>
      <c r="H3812" t="s">
        <v>25</v>
      </c>
      <c r="I3812"/>
    </row>
    <row r="3813" spans="1:9">
      <c r="A3813" t="s">
        <v>3671</v>
      </c>
      <c r="B3813" s="1" t="str">
        <f>"12013914"</f>
        <v>12013914</v>
      </c>
      <c r="C3813" t="s">
        <v>237</v>
      </c>
      <c r="D3813" t="s">
        <v>3773</v>
      </c>
      <c r="E3813" s="2"/>
      <c r="F3813" t="s">
        <v>239</v>
      </c>
      <c r="G3813" t="s">
        <v>25</v>
      </c>
      <c r="H3813" t="s">
        <v>332</v>
      </c>
      <c r="I3813"/>
    </row>
    <row r="3814" spans="1:9">
      <c r="A3814" t="s">
        <v>3671</v>
      </c>
      <c r="B3814" s="1" t="str">
        <f>"12013948"</f>
        <v>12013948</v>
      </c>
      <c r="C3814" t="s">
        <v>237</v>
      </c>
      <c r="D3814" t="s">
        <v>3774</v>
      </c>
      <c r="E3814" s="2">
        <v>0.13</v>
      </c>
      <c r="F3814" t="s">
        <v>239</v>
      </c>
      <c r="G3814" t="s">
        <v>25</v>
      </c>
      <c r="H3814" t="s">
        <v>25</v>
      </c>
      <c r="I3814"/>
    </row>
    <row r="3815" spans="1:9">
      <c r="A3815" t="s">
        <v>3671</v>
      </c>
      <c r="B3815" s="1" t="str">
        <f>"12013878"</f>
        <v>12013878</v>
      </c>
      <c r="C3815" t="s">
        <v>237</v>
      </c>
      <c r="D3815" t="s">
        <v>3775</v>
      </c>
      <c r="E3815" s="2">
        <v>0.135</v>
      </c>
      <c r="F3815" t="s">
        <v>239</v>
      </c>
      <c r="G3815" t="s">
        <v>25</v>
      </c>
      <c r="H3815" t="s">
        <v>25</v>
      </c>
      <c r="I3815"/>
    </row>
    <row r="3816" spans="1:9">
      <c r="A3816" t="s">
        <v>3671</v>
      </c>
      <c r="B3816" s="1" t="str">
        <f>"12016590"</f>
        <v>12016590</v>
      </c>
      <c r="C3816" t="s">
        <v>237</v>
      </c>
      <c r="D3816" t="s">
        <v>3776</v>
      </c>
      <c r="E3816" s="2"/>
      <c r="F3816" t="s">
        <v>239</v>
      </c>
      <c r="G3816" t="s">
        <v>25</v>
      </c>
      <c r="H3816" t="s">
        <v>25</v>
      </c>
      <c r="I3816"/>
    </row>
    <row r="3817" spans="1:9">
      <c r="A3817" t="s">
        <v>3671</v>
      </c>
      <c r="B3817" s="1" t="str">
        <f>"20042646"</f>
        <v>20042646</v>
      </c>
      <c r="C3817" t="s">
        <v>237</v>
      </c>
      <c r="D3817" t="s">
        <v>3777</v>
      </c>
      <c r="E3817" s="2"/>
      <c r="F3817" t="s">
        <v>239</v>
      </c>
      <c r="G3817" t="s">
        <v>25</v>
      </c>
      <c r="H3817" t="s">
        <v>25</v>
      </c>
      <c r="I3817"/>
    </row>
    <row r="3818" spans="1:9">
      <c r="A3818" t="s">
        <v>3671</v>
      </c>
      <c r="B3818" s="1" t="str">
        <f>"20157562"</f>
        <v>20157562</v>
      </c>
      <c r="C3818" t="s">
        <v>237</v>
      </c>
      <c r="D3818" t="s">
        <v>3778</v>
      </c>
      <c r="E3818" s="2"/>
      <c r="F3818" t="s">
        <v>331</v>
      </c>
      <c r="G3818" t="s">
        <v>25</v>
      </c>
      <c r="H3818" t="s">
        <v>25</v>
      </c>
      <c r="I3818"/>
    </row>
    <row r="3819" spans="1:9">
      <c r="A3819" t="s">
        <v>3671</v>
      </c>
      <c r="B3819" s="1" t="str">
        <f>"20113087"</f>
        <v>20113087</v>
      </c>
      <c r="C3819" t="s">
        <v>237</v>
      </c>
      <c r="D3819" t="s">
        <v>3779</v>
      </c>
      <c r="E3819" s="2"/>
      <c r="F3819" t="s">
        <v>239</v>
      </c>
      <c r="G3819" t="s">
        <v>25</v>
      </c>
      <c r="H3819" t="s">
        <v>25</v>
      </c>
      <c r="I3819"/>
    </row>
    <row r="3820" spans="1:9">
      <c r="A3820" t="s">
        <v>3671</v>
      </c>
      <c r="B3820" s="1" t="str">
        <f>"12191307"</f>
        <v>12191307</v>
      </c>
      <c r="C3820" t="s">
        <v>237</v>
      </c>
      <c r="D3820" t="s">
        <v>3780</v>
      </c>
      <c r="E3820" s="2">
        <v>0.13</v>
      </c>
      <c r="F3820" t="s">
        <v>239</v>
      </c>
      <c r="G3820" t="s">
        <v>25</v>
      </c>
      <c r="H3820" t="s">
        <v>25</v>
      </c>
      <c r="I3820"/>
    </row>
    <row r="3821" spans="1:9">
      <c r="A3821" t="s">
        <v>3671</v>
      </c>
      <c r="B3821" s="1" t="str">
        <f>"12020018"</f>
        <v>12020018</v>
      </c>
      <c r="C3821" t="s">
        <v>237</v>
      </c>
      <c r="D3821" t="s">
        <v>3781</v>
      </c>
      <c r="E3821" s="2">
        <v>0.13</v>
      </c>
      <c r="F3821" t="s">
        <v>239</v>
      </c>
      <c r="G3821" t="s">
        <v>29</v>
      </c>
      <c r="H3821" t="s">
        <v>332</v>
      </c>
      <c r="I3821"/>
    </row>
    <row r="3822" spans="1:9">
      <c r="A3822" t="s">
        <v>3671</v>
      </c>
      <c r="B3822" s="1" t="str">
        <f>"12016596"</f>
        <v>12016596</v>
      </c>
      <c r="C3822" t="s">
        <v>237</v>
      </c>
      <c r="D3822" t="s">
        <v>3782</v>
      </c>
      <c r="E3822" s="2"/>
      <c r="F3822" t="s">
        <v>239</v>
      </c>
      <c r="G3822" t="s">
        <v>25</v>
      </c>
      <c r="H3822" t="s">
        <v>332</v>
      </c>
      <c r="I3822"/>
    </row>
    <row r="3823" spans="1:9">
      <c r="A3823" t="s">
        <v>3671</v>
      </c>
      <c r="B3823" s="1" t="str">
        <f>"12191309"</f>
        <v>12191309</v>
      </c>
      <c r="C3823" t="s">
        <v>237</v>
      </c>
      <c r="D3823" t="s">
        <v>3783</v>
      </c>
      <c r="E3823" s="2">
        <v>0.135</v>
      </c>
      <c r="F3823" t="s">
        <v>239</v>
      </c>
      <c r="G3823" t="s">
        <v>25</v>
      </c>
      <c r="H3823" t="s">
        <v>332</v>
      </c>
      <c r="I3823"/>
    </row>
    <row r="3824" spans="1:9">
      <c r="A3824" t="s">
        <v>3671</v>
      </c>
      <c r="B3824" s="1" t="str">
        <f>"12202029"</f>
        <v>12202029</v>
      </c>
      <c r="C3824" t="s">
        <v>237</v>
      </c>
      <c r="D3824" t="s">
        <v>3784</v>
      </c>
      <c r="E3824" s="2">
        <v>0.145</v>
      </c>
      <c r="F3824" t="s">
        <v>239</v>
      </c>
      <c r="G3824" t="s">
        <v>29</v>
      </c>
      <c r="H3824" t="s">
        <v>332</v>
      </c>
      <c r="I3824"/>
    </row>
    <row r="3825" spans="1:9">
      <c r="A3825" t="s">
        <v>3671</v>
      </c>
      <c r="B3825" s="1" t="str">
        <f>"12192553"</f>
        <v>12192553</v>
      </c>
      <c r="C3825" t="s">
        <v>237</v>
      </c>
      <c r="D3825" t="s">
        <v>3785</v>
      </c>
      <c r="E3825" s="2">
        <v>0.13</v>
      </c>
      <c r="F3825" t="s">
        <v>239</v>
      </c>
      <c r="G3825" t="s">
        <v>25</v>
      </c>
      <c r="H3825" t="s">
        <v>332</v>
      </c>
      <c r="I3825"/>
    </row>
    <row r="3826" spans="1:9">
      <c r="A3826" t="s">
        <v>3671</v>
      </c>
      <c r="B3826" s="1" t="str">
        <f>"12013894"</f>
        <v>12013894</v>
      </c>
      <c r="C3826" t="s">
        <v>237</v>
      </c>
      <c r="D3826" t="s">
        <v>3786</v>
      </c>
      <c r="E3826" s="2"/>
      <c r="F3826" t="s">
        <v>239</v>
      </c>
      <c r="G3826" t="s">
        <v>25</v>
      </c>
      <c r="H3826" t="s">
        <v>332</v>
      </c>
      <c r="I3826"/>
    </row>
    <row r="3827" spans="1:9">
      <c r="A3827" t="s">
        <v>3671</v>
      </c>
      <c r="B3827" s="1" t="str">
        <f>"12013153"</f>
        <v>12013153</v>
      </c>
      <c r="C3827" t="s">
        <v>237</v>
      </c>
      <c r="D3827" t="s">
        <v>3787</v>
      </c>
      <c r="E3827" s="2">
        <v>0.13</v>
      </c>
      <c r="F3827" t="s">
        <v>239</v>
      </c>
      <c r="G3827" t="s">
        <v>29</v>
      </c>
      <c r="H3827" t="s">
        <v>332</v>
      </c>
      <c r="I3827"/>
    </row>
    <row r="3828" spans="1:9">
      <c r="A3828" t="s">
        <v>3671</v>
      </c>
      <c r="B3828" s="1" t="str">
        <f>"12191314"</f>
        <v>12191314</v>
      </c>
      <c r="C3828" t="s">
        <v>237</v>
      </c>
      <c r="D3828" t="s">
        <v>3788</v>
      </c>
      <c r="E3828" s="2">
        <v>0.135</v>
      </c>
      <c r="F3828" t="s">
        <v>239</v>
      </c>
      <c r="G3828" t="s">
        <v>25</v>
      </c>
      <c r="H3828" t="s">
        <v>332</v>
      </c>
      <c r="I3828"/>
    </row>
    <row r="3829" spans="1:9">
      <c r="A3829" t="s">
        <v>3671</v>
      </c>
      <c r="B3829" s="1" t="str">
        <f>"20644345"</f>
        <v>20644345</v>
      </c>
      <c r="C3829" t="s">
        <v>237</v>
      </c>
      <c r="D3829" t="s">
        <v>3789</v>
      </c>
      <c r="E3829" s="2"/>
      <c r="F3829" t="s">
        <v>239</v>
      </c>
      <c r="G3829" t="s">
        <v>25</v>
      </c>
      <c r="H3829" t="s">
        <v>25</v>
      </c>
      <c r="I3829"/>
    </row>
    <row r="3830" spans="1:9">
      <c r="A3830" t="s">
        <v>3671</v>
      </c>
      <c r="B3830" s="1" t="str">
        <f>"12023017"</f>
        <v>12023017</v>
      </c>
      <c r="C3830" t="s">
        <v>237</v>
      </c>
      <c r="D3830" t="s">
        <v>3790</v>
      </c>
      <c r="E3830" s="2">
        <v>0.145</v>
      </c>
      <c r="F3830" t="s">
        <v>239</v>
      </c>
      <c r="G3830"/>
      <c r="H3830" t="s">
        <v>240</v>
      </c>
      <c r="I3830"/>
    </row>
    <row r="3831" spans="1:9">
      <c r="A3831" t="s">
        <v>3671</v>
      </c>
      <c r="B3831" s="1" t="str">
        <f>"12023018"</f>
        <v>12023018</v>
      </c>
      <c r="C3831" t="s">
        <v>237</v>
      </c>
      <c r="D3831" t="s">
        <v>3791</v>
      </c>
      <c r="E3831" s="2">
        <v>0.14</v>
      </c>
      <c r="F3831" t="s">
        <v>239</v>
      </c>
      <c r="G3831"/>
      <c r="H3831" t="s">
        <v>240</v>
      </c>
      <c r="I3831"/>
    </row>
    <row r="3832" spans="1:9">
      <c r="A3832" t="s">
        <v>3671</v>
      </c>
      <c r="B3832" s="1" t="str">
        <f>"12191317"</f>
        <v>12191317</v>
      </c>
      <c r="C3832" t="s">
        <v>237</v>
      </c>
      <c r="D3832" t="s">
        <v>3792</v>
      </c>
      <c r="E3832" s="2">
        <v>0.13</v>
      </c>
      <c r="F3832" t="s">
        <v>239</v>
      </c>
      <c r="G3832" t="s">
        <v>25</v>
      </c>
      <c r="H3832" t="s">
        <v>332</v>
      </c>
      <c r="I3832"/>
    </row>
    <row r="3833" spans="1:9">
      <c r="A3833" t="s">
        <v>3671</v>
      </c>
      <c r="B3833" s="1" t="str">
        <f>"12013931"</f>
        <v>12013931</v>
      </c>
      <c r="C3833" t="s">
        <v>237</v>
      </c>
      <c r="D3833" t="s">
        <v>3793</v>
      </c>
      <c r="E3833" s="2"/>
      <c r="F3833" t="s">
        <v>239</v>
      </c>
      <c r="G3833" t="s">
        <v>29</v>
      </c>
      <c r="H3833" t="s">
        <v>332</v>
      </c>
      <c r="I3833"/>
    </row>
    <row r="3834" spans="1:9">
      <c r="A3834" t="s">
        <v>3671</v>
      </c>
      <c r="B3834" s="1" t="str">
        <f>"12020016"</f>
        <v>12020016</v>
      </c>
      <c r="C3834" t="s">
        <v>237</v>
      </c>
      <c r="D3834" t="s">
        <v>3794</v>
      </c>
      <c r="E3834" s="2">
        <v>0.145</v>
      </c>
      <c r="F3834" t="s">
        <v>239</v>
      </c>
      <c r="G3834" t="s">
        <v>25</v>
      </c>
      <c r="H3834" t="s">
        <v>332</v>
      </c>
      <c r="I3834"/>
    </row>
    <row r="3835" spans="1:9">
      <c r="A3835" t="s">
        <v>3671</v>
      </c>
      <c r="B3835" s="1" t="str">
        <f>"20025700"</f>
        <v>20025700</v>
      </c>
      <c r="C3835" t="s">
        <v>237</v>
      </c>
      <c r="D3835" t="s">
        <v>3795</v>
      </c>
      <c r="E3835" s="2"/>
      <c r="F3835" t="s">
        <v>239</v>
      </c>
      <c r="G3835" t="s">
        <v>25</v>
      </c>
      <c r="H3835" t="s">
        <v>25</v>
      </c>
      <c r="I3835"/>
    </row>
    <row r="3836" spans="1:9">
      <c r="A3836" t="s">
        <v>3671</v>
      </c>
      <c r="B3836" s="1" t="str">
        <f>"20175412"</f>
        <v>20175412</v>
      </c>
      <c r="C3836" t="s">
        <v>237</v>
      </c>
      <c r="D3836" t="s">
        <v>3796</v>
      </c>
      <c r="E3836" s="2"/>
      <c r="F3836" t="s">
        <v>239</v>
      </c>
      <c r="G3836" t="s">
        <v>25</v>
      </c>
      <c r="H3836" t="s">
        <v>25</v>
      </c>
      <c r="I3836"/>
    </row>
    <row r="3837" spans="1:9">
      <c r="A3837" t="s">
        <v>3671</v>
      </c>
      <c r="B3837" s="1" t="str">
        <f>"12021064"</f>
        <v>12021064</v>
      </c>
      <c r="C3837" t="s">
        <v>237</v>
      </c>
      <c r="D3837" t="s">
        <v>3797</v>
      </c>
      <c r="E3837" s="2">
        <v>0.15</v>
      </c>
      <c r="F3837" t="s">
        <v>239</v>
      </c>
      <c r="G3837" t="s">
        <v>2999</v>
      </c>
      <c r="H3837" t="s">
        <v>332</v>
      </c>
      <c r="I3837"/>
    </row>
    <row r="3838" spans="1:9">
      <c r="A3838" t="s">
        <v>3671</v>
      </c>
      <c r="B3838" s="1" t="str">
        <f>"12192555"</f>
        <v>12192555</v>
      </c>
      <c r="C3838" t="s">
        <v>237</v>
      </c>
      <c r="D3838" t="s">
        <v>3798</v>
      </c>
      <c r="E3838" s="2">
        <v>0.14</v>
      </c>
      <c r="F3838" t="s">
        <v>239</v>
      </c>
      <c r="G3838" t="s">
        <v>25</v>
      </c>
      <c r="H3838" t="s">
        <v>25</v>
      </c>
      <c r="I3838"/>
    </row>
    <row r="3839" spans="1:9">
      <c r="A3839" t="s">
        <v>3671</v>
      </c>
      <c r="B3839" s="1" t="str">
        <f>"12192556"</f>
        <v>12192556</v>
      </c>
      <c r="C3839" t="s">
        <v>237</v>
      </c>
      <c r="D3839" t="s">
        <v>3799</v>
      </c>
      <c r="E3839" s="2">
        <v>0.14</v>
      </c>
      <c r="F3839" t="s">
        <v>239</v>
      </c>
      <c r="G3839" t="s">
        <v>25</v>
      </c>
      <c r="H3839" t="s">
        <v>25</v>
      </c>
      <c r="I3839"/>
    </row>
    <row r="3840" spans="1:9">
      <c r="A3840" t="s">
        <v>3671</v>
      </c>
      <c r="B3840" s="1" t="str">
        <f>"12013156"</f>
        <v>12013156</v>
      </c>
      <c r="C3840" t="s">
        <v>237</v>
      </c>
      <c r="D3840" t="s">
        <v>3800</v>
      </c>
      <c r="E3840" s="2">
        <v>0.145</v>
      </c>
      <c r="F3840" t="s">
        <v>239</v>
      </c>
      <c r="G3840" t="s">
        <v>29</v>
      </c>
      <c r="H3840" t="s">
        <v>332</v>
      </c>
      <c r="I3840"/>
    </row>
    <row r="3841" spans="1:9">
      <c r="A3841" t="s">
        <v>3671</v>
      </c>
      <c r="B3841" s="1" t="str">
        <f>"12013900"</f>
        <v>12013900</v>
      </c>
      <c r="C3841" t="s">
        <v>237</v>
      </c>
      <c r="D3841" t="s">
        <v>3801</v>
      </c>
      <c r="E3841" s="2"/>
      <c r="F3841" t="s">
        <v>239</v>
      </c>
      <c r="G3841" t="s">
        <v>29</v>
      </c>
      <c r="H3841" t="s">
        <v>25</v>
      </c>
      <c r="I3841"/>
    </row>
    <row r="3842" spans="1:9">
      <c r="A3842" t="s">
        <v>3671</v>
      </c>
      <c r="B3842" s="1" t="str">
        <f>"12013901"</f>
        <v>12013901</v>
      </c>
      <c r="C3842" t="s">
        <v>237</v>
      </c>
      <c r="D3842" t="s">
        <v>3802</v>
      </c>
      <c r="E3842" s="2"/>
      <c r="F3842" t="s">
        <v>239</v>
      </c>
      <c r="G3842" t="s">
        <v>29</v>
      </c>
      <c r="H3842" t="s">
        <v>332</v>
      </c>
      <c r="I3842"/>
    </row>
    <row r="3843" spans="1:9">
      <c r="A3843" t="s">
        <v>3671</v>
      </c>
      <c r="B3843" s="1" t="str">
        <f>"12013060"</f>
        <v>12013060</v>
      </c>
      <c r="C3843" t="s">
        <v>237</v>
      </c>
      <c r="D3843" t="s">
        <v>3803</v>
      </c>
      <c r="E3843" s="2"/>
      <c r="F3843" t="s">
        <v>3630</v>
      </c>
      <c r="G3843" t="s">
        <v>25</v>
      </c>
      <c r="H3843" t="s">
        <v>25</v>
      </c>
      <c r="I3843"/>
    </row>
    <row r="3844" spans="1:9">
      <c r="A3844" t="s">
        <v>3671</v>
      </c>
      <c r="B3844" s="1" t="str">
        <f>"20833596"</f>
        <v>20833596</v>
      </c>
      <c r="C3844" t="s">
        <v>237</v>
      </c>
      <c r="D3844" t="s">
        <v>3804</v>
      </c>
      <c r="E3844" s="2"/>
      <c r="F3844" t="s">
        <v>239</v>
      </c>
      <c r="G3844" t="s">
        <v>25</v>
      </c>
      <c r="H3844" t="s">
        <v>25</v>
      </c>
      <c r="I3844"/>
    </row>
    <row r="3845" spans="1:9">
      <c r="A3845" t="s">
        <v>3671</v>
      </c>
      <c r="B3845" s="1" t="str">
        <f>"12013067"</f>
        <v>12013067</v>
      </c>
      <c r="C3845" t="s">
        <v>237</v>
      </c>
      <c r="D3845" t="s">
        <v>3805</v>
      </c>
      <c r="E3845" s="2"/>
      <c r="F3845" t="s">
        <v>239</v>
      </c>
      <c r="G3845" t="s">
        <v>25</v>
      </c>
      <c r="H3845" t="s">
        <v>25</v>
      </c>
      <c r="I3845"/>
    </row>
    <row r="3846" spans="1:9">
      <c r="A3846" t="s">
        <v>3671</v>
      </c>
      <c r="B3846" s="1" t="str">
        <f>"20833565"</f>
        <v>20833565</v>
      </c>
      <c r="C3846" t="s">
        <v>237</v>
      </c>
      <c r="D3846" t="s">
        <v>3806</v>
      </c>
      <c r="E3846" s="2"/>
      <c r="F3846" t="s">
        <v>1477</v>
      </c>
      <c r="G3846" t="s">
        <v>25</v>
      </c>
      <c r="H3846" t="s">
        <v>25</v>
      </c>
      <c r="I3846"/>
    </row>
    <row r="3847" spans="1:9">
      <c r="A3847" t="s">
        <v>3671</v>
      </c>
      <c r="B3847" s="1" t="str">
        <f>"20070663"</f>
        <v>20070663</v>
      </c>
      <c r="C3847" t="s">
        <v>237</v>
      </c>
      <c r="D3847" t="s">
        <v>3807</v>
      </c>
      <c r="E3847" s="2"/>
      <c r="F3847" t="s">
        <v>239</v>
      </c>
      <c r="G3847" t="s">
        <v>25</v>
      </c>
      <c r="H3847" t="s">
        <v>25</v>
      </c>
      <c r="I3847"/>
    </row>
    <row r="3848" spans="1:9">
      <c r="A3848" t="s">
        <v>3671</v>
      </c>
      <c r="B3848" s="1" t="str">
        <f>"20105662"</f>
        <v>20105662</v>
      </c>
      <c r="C3848" t="s">
        <v>237</v>
      </c>
      <c r="D3848" t="s">
        <v>3808</v>
      </c>
      <c r="E3848" s="2"/>
      <c r="F3848" t="s">
        <v>12</v>
      </c>
      <c r="G3848" t="s">
        <v>25</v>
      </c>
      <c r="H3848" t="s">
        <v>25</v>
      </c>
      <c r="I3848"/>
    </row>
    <row r="3849" spans="1:9">
      <c r="A3849" t="s">
        <v>3671</v>
      </c>
      <c r="B3849" s="1" t="str">
        <f>"12350061"</f>
        <v>12350061</v>
      </c>
      <c r="C3849" t="s">
        <v>237</v>
      </c>
      <c r="D3849" t="s">
        <v>3809</v>
      </c>
      <c r="E3849" s="2">
        <v>0.12</v>
      </c>
      <c r="F3849" t="s">
        <v>239</v>
      </c>
      <c r="G3849" t="s">
        <v>25</v>
      </c>
      <c r="H3849" t="s">
        <v>25</v>
      </c>
      <c r="I3849"/>
    </row>
    <row r="3850" spans="1:9">
      <c r="A3850" t="s">
        <v>3671</v>
      </c>
      <c r="B3850" s="1" t="str">
        <f>"12192551"</f>
        <v>12192551</v>
      </c>
      <c r="C3850" t="s">
        <v>237</v>
      </c>
      <c r="D3850" t="s">
        <v>3810</v>
      </c>
      <c r="E3850" s="2">
        <v>0.125</v>
      </c>
      <c r="F3850" t="s">
        <v>239</v>
      </c>
      <c r="G3850" t="s">
        <v>25</v>
      </c>
      <c r="H3850" t="s">
        <v>25</v>
      </c>
      <c r="I3850"/>
    </row>
    <row r="3851" spans="1:9">
      <c r="A3851" t="s">
        <v>3671</v>
      </c>
      <c r="B3851" s="1" t="str">
        <f>"12013065"</f>
        <v>12013065</v>
      </c>
      <c r="C3851" t="s">
        <v>237</v>
      </c>
      <c r="D3851" t="s">
        <v>3811</v>
      </c>
      <c r="E3851" s="2"/>
      <c r="F3851" t="s">
        <v>12</v>
      </c>
      <c r="G3851" t="s">
        <v>25</v>
      </c>
      <c r="H3851" t="s">
        <v>25</v>
      </c>
      <c r="I3851"/>
    </row>
    <row r="3852" spans="1:9">
      <c r="A3852" t="s">
        <v>3671</v>
      </c>
      <c r="B3852" s="1" t="str">
        <f>"20629304"</f>
        <v>20629304</v>
      </c>
      <c r="C3852" t="s">
        <v>237</v>
      </c>
      <c r="D3852" t="s">
        <v>3812</v>
      </c>
      <c r="E3852" s="2"/>
      <c r="F3852" t="s">
        <v>239</v>
      </c>
      <c r="G3852" t="s">
        <v>25</v>
      </c>
      <c r="H3852" t="s">
        <v>25</v>
      </c>
      <c r="I3852"/>
    </row>
    <row r="3853" spans="1:9">
      <c r="A3853" t="s">
        <v>3671</v>
      </c>
      <c r="B3853" s="1" t="str">
        <f>"12202023"</f>
        <v>12202023</v>
      </c>
      <c r="C3853" t="s">
        <v>237</v>
      </c>
      <c r="D3853" t="s">
        <v>3813</v>
      </c>
      <c r="E3853" s="2">
        <v>0.14</v>
      </c>
      <c r="F3853" t="s">
        <v>239</v>
      </c>
      <c r="G3853" t="s">
        <v>25</v>
      </c>
      <c r="H3853" t="s">
        <v>332</v>
      </c>
      <c r="I3853"/>
    </row>
    <row r="3854" spans="1:9">
      <c r="A3854" t="s">
        <v>3671</v>
      </c>
      <c r="B3854" s="1" t="str">
        <f>"20501051"</f>
        <v>20501051</v>
      </c>
      <c r="C3854" t="s">
        <v>3814</v>
      </c>
      <c r="D3854" t="s">
        <v>3815</v>
      </c>
      <c r="E3854" s="2"/>
      <c r="F3854" t="s">
        <v>331</v>
      </c>
      <c r="G3854" t="s">
        <v>25</v>
      </c>
      <c r="H3854" t="s">
        <v>25</v>
      </c>
      <c r="I3854"/>
    </row>
    <row r="3855" spans="1:9">
      <c r="A3855" t="s">
        <v>3671</v>
      </c>
      <c r="B3855" s="1" t="str">
        <f>"12021071"</f>
        <v>12021071</v>
      </c>
      <c r="C3855" t="s">
        <v>3483</v>
      </c>
      <c r="D3855" t="s">
        <v>3816</v>
      </c>
      <c r="E3855" s="2">
        <v>0.155</v>
      </c>
      <c r="F3855" t="s">
        <v>239</v>
      </c>
      <c r="G3855" t="s">
        <v>2780</v>
      </c>
      <c r="H3855" t="s">
        <v>332</v>
      </c>
      <c r="I3855"/>
    </row>
    <row r="3856" spans="1:9">
      <c r="A3856" t="s">
        <v>3671</v>
      </c>
      <c r="B3856" s="1" t="str">
        <f>"12202042"</f>
        <v>12202042</v>
      </c>
      <c r="C3856" t="s">
        <v>3483</v>
      </c>
      <c r="D3856" t="s">
        <v>3817</v>
      </c>
      <c r="E3856" s="2">
        <v>0.15</v>
      </c>
      <c r="F3856" t="s">
        <v>239</v>
      </c>
      <c r="G3856" t="s">
        <v>25</v>
      </c>
      <c r="H3856" t="s">
        <v>332</v>
      </c>
      <c r="I3856"/>
    </row>
    <row r="3857" spans="1:9">
      <c r="A3857" t="s">
        <v>3671</v>
      </c>
      <c r="B3857" s="1" t="str">
        <f>"12013075"</f>
        <v>12013075</v>
      </c>
      <c r="C3857" t="s">
        <v>3483</v>
      </c>
      <c r="D3857" t="s">
        <v>3818</v>
      </c>
      <c r="E3857" s="2"/>
      <c r="F3857" t="s">
        <v>239</v>
      </c>
      <c r="G3857" t="s">
        <v>25</v>
      </c>
      <c r="H3857" t="s">
        <v>332</v>
      </c>
      <c r="I3857"/>
    </row>
    <row r="3858" spans="1:9">
      <c r="A3858" t="s">
        <v>3671</v>
      </c>
      <c r="B3858" s="1" t="str">
        <f>"12192500"</f>
        <v>12192500</v>
      </c>
      <c r="C3858" t="s">
        <v>3483</v>
      </c>
      <c r="D3858" t="s">
        <v>3819</v>
      </c>
      <c r="E3858" s="2">
        <v>0.135</v>
      </c>
      <c r="F3858" t="s">
        <v>239</v>
      </c>
      <c r="G3858" t="s">
        <v>25</v>
      </c>
      <c r="H3858" t="s">
        <v>332</v>
      </c>
      <c r="I3858"/>
    </row>
    <row r="3859" spans="1:9">
      <c r="A3859" t="s">
        <v>3671</v>
      </c>
      <c r="B3859" s="1" t="str">
        <f>"12099874"</f>
        <v>12099874</v>
      </c>
      <c r="C3859" t="s">
        <v>3483</v>
      </c>
      <c r="D3859" t="s">
        <v>3820</v>
      </c>
      <c r="E3859" s="2"/>
      <c r="F3859" t="s">
        <v>239</v>
      </c>
      <c r="G3859" t="s">
        <v>25</v>
      </c>
      <c r="H3859" t="s">
        <v>332</v>
      </c>
      <c r="I3859"/>
    </row>
    <row r="3860" spans="1:9">
      <c r="A3860" t="s">
        <v>3671</v>
      </c>
      <c r="B3860" s="1" t="str">
        <f>"12013177"</f>
        <v>12013177</v>
      </c>
      <c r="C3860" t="s">
        <v>3483</v>
      </c>
      <c r="D3860" t="s">
        <v>3821</v>
      </c>
      <c r="E3860" s="2">
        <v>0.135</v>
      </c>
      <c r="F3860" t="s">
        <v>239</v>
      </c>
      <c r="G3860" t="s">
        <v>2780</v>
      </c>
      <c r="H3860" t="s">
        <v>332</v>
      </c>
      <c r="I3860"/>
    </row>
    <row r="3861" spans="1:9">
      <c r="A3861" t="s">
        <v>3671</v>
      </c>
      <c r="B3861" s="1" t="str">
        <f>"12202052"</f>
        <v>12202052</v>
      </c>
      <c r="C3861" t="s">
        <v>3483</v>
      </c>
      <c r="D3861" t="s">
        <v>3822</v>
      </c>
      <c r="E3861" s="2">
        <v>0.14</v>
      </c>
      <c r="F3861" t="s">
        <v>239</v>
      </c>
      <c r="G3861" t="s">
        <v>25</v>
      </c>
      <c r="H3861" t="s">
        <v>332</v>
      </c>
      <c r="I3861"/>
    </row>
    <row r="3862" spans="1:9">
      <c r="A3862" t="s">
        <v>3671</v>
      </c>
      <c r="B3862" s="1" t="str">
        <f>"12013540"</f>
        <v>12013540</v>
      </c>
      <c r="C3862" t="s">
        <v>3483</v>
      </c>
      <c r="D3862" t="s">
        <v>3823</v>
      </c>
      <c r="E3862" s="2"/>
      <c r="F3862" t="s">
        <v>239</v>
      </c>
      <c r="G3862" t="s">
        <v>25</v>
      </c>
      <c r="H3862" t="s">
        <v>332</v>
      </c>
      <c r="I3862"/>
    </row>
    <row r="3863" spans="1:9">
      <c r="A3863" t="s">
        <v>3671</v>
      </c>
      <c r="B3863" s="1" t="str">
        <f>"12013446"</f>
        <v>12013446</v>
      </c>
      <c r="C3863" t="s">
        <v>3483</v>
      </c>
      <c r="D3863" t="s">
        <v>3824</v>
      </c>
      <c r="E3863" s="2">
        <v>0.135</v>
      </c>
      <c r="F3863" t="s">
        <v>239</v>
      </c>
      <c r="G3863" t="s">
        <v>25</v>
      </c>
      <c r="H3863" t="s">
        <v>332</v>
      </c>
      <c r="I3863"/>
    </row>
    <row r="3864" spans="1:9">
      <c r="A3864" t="s">
        <v>3671</v>
      </c>
      <c r="B3864" s="1" t="str">
        <f>"12192512"</f>
        <v>12192512</v>
      </c>
      <c r="C3864" t="s">
        <v>3483</v>
      </c>
      <c r="D3864" t="s">
        <v>3825</v>
      </c>
      <c r="E3864" s="2">
        <v>0.135</v>
      </c>
      <c r="F3864" t="s">
        <v>239</v>
      </c>
      <c r="G3864" t="s">
        <v>25</v>
      </c>
      <c r="H3864" t="s">
        <v>25</v>
      </c>
      <c r="I3864"/>
    </row>
    <row r="3865" spans="1:9">
      <c r="A3865" t="s">
        <v>3671</v>
      </c>
      <c r="B3865" s="1" t="str">
        <f>"20026042"</f>
        <v>20026042</v>
      </c>
      <c r="C3865" t="s">
        <v>3483</v>
      </c>
      <c r="D3865" t="s">
        <v>3826</v>
      </c>
      <c r="E3865" s="2"/>
      <c r="F3865" t="s">
        <v>239</v>
      </c>
      <c r="G3865" t="s">
        <v>25</v>
      </c>
      <c r="H3865" t="s">
        <v>25</v>
      </c>
      <c r="I3865"/>
    </row>
    <row r="3866" spans="1:9">
      <c r="A3866" t="s">
        <v>3671</v>
      </c>
      <c r="B3866" s="1" t="str">
        <f>"12016624"</f>
        <v>12016624</v>
      </c>
      <c r="C3866" t="s">
        <v>3483</v>
      </c>
      <c r="D3866" t="s">
        <v>3827</v>
      </c>
      <c r="E3866" s="2">
        <v>0.14</v>
      </c>
      <c r="F3866" t="s">
        <v>239</v>
      </c>
      <c r="G3866" t="s">
        <v>25</v>
      </c>
      <c r="H3866" t="s">
        <v>25</v>
      </c>
      <c r="I3866"/>
    </row>
    <row r="3867" spans="1:9">
      <c r="A3867" t="s">
        <v>3671</v>
      </c>
      <c r="B3867" s="1" t="str">
        <f>"20157593"</f>
        <v>20157593</v>
      </c>
      <c r="C3867" t="s">
        <v>3483</v>
      </c>
      <c r="D3867" t="s">
        <v>3828</v>
      </c>
      <c r="E3867" s="2"/>
      <c r="F3867" t="s">
        <v>3630</v>
      </c>
      <c r="G3867" t="s">
        <v>25</v>
      </c>
      <c r="H3867" t="s">
        <v>25</v>
      </c>
      <c r="I3867"/>
    </row>
    <row r="3868" spans="1:9">
      <c r="A3868" t="s">
        <v>3671</v>
      </c>
      <c r="B3868" s="1" t="str">
        <f>"12013079"</f>
        <v>12013079</v>
      </c>
      <c r="C3868" t="s">
        <v>3483</v>
      </c>
      <c r="D3868" t="s">
        <v>3829</v>
      </c>
      <c r="E3868" s="2"/>
      <c r="F3868" t="s">
        <v>239</v>
      </c>
      <c r="G3868" t="s">
        <v>25</v>
      </c>
      <c r="H3868" t="s">
        <v>25</v>
      </c>
      <c r="I3868"/>
    </row>
    <row r="3869" spans="1:9">
      <c r="A3869" t="s">
        <v>3671</v>
      </c>
      <c r="B3869" s="1" t="str">
        <f>"12202038"</f>
        <v>12202038</v>
      </c>
      <c r="C3869" t="s">
        <v>3483</v>
      </c>
      <c r="D3869" t="s">
        <v>3830</v>
      </c>
      <c r="E3869" s="2">
        <v>0.16</v>
      </c>
      <c r="F3869" t="s">
        <v>239</v>
      </c>
      <c r="G3869" t="s">
        <v>25</v>
      </c>
      <c r="H3869" t="s">
        <v>332</v>
      </c>
      <c r="I3869"/>
    </row>
    <row r="3870" spans="1:9">
      <c r="A3870" t="s">
        <v>3671</v>
      </c>
      <c r="B3870" s="1" t="str">
        <f>"12013011"</f>
        <v>12013011</v>
      </c>
      <c r="C3870" t="s">
        <v>3483</v>
      </c>
      <c r="D3870" t="s">
        <v>3831</v>
      </c>
      <c r="E3870" s="2">
        <v>0.125</v>
      </c>
      <c r="F3870" t="s">
        <v>239</v>
      </c>
      <c r="G3870" t="s">
        <v>29</v>
      </c>
      <c r="H3870" t="s">
        <v>25</v>
      </c>
      <c r="I3870"/>
    </row>
    <row r="3871" spans="1:9">
      <c r="A3871" t="s">
        <v>3671</v>
      </c>
      <c r="B3871" s="1" t="str">
        <f>"12202043"</f>
        <v>12202043</v>
      </c>
      <c r="C3871" t="s">
        <v>3483</v>
      </c>
      <c r="D3871" t="s">
        <v>3832</v>
      </c>
      <c r="E3871" s="2">
        <v>0.135</v>
      </c>
      <c r="F3871" t="s">
        <v>239</v>
      </c>
      <c r="G3871" t="s">
        <v>25</v>
      </c>
      <c r="H3871" t="s">
        <v>332</v>
      </c>
      <c r="I3871"/>
    </row>
    <row r="3872" spans="1:9">
      <c r="A3872" t="s">
        <v>3671</v>
      </c>
      <c r="B3872" s="1" t="str">
        <f>"12013082"</f>
        <v>12013082</v>
      </c>
      <c r="C3872" t="s">
        <v>3483</v>
      </c>
      <c r="D3872" t="s">
        <v>3833</v>
      </c>
      <c r="E3872" s="2"/>
      <c r="F3872" t="s">
        <v>239</v>
      </c>
      <c r="G3872" t="s">
        <v>25</v>
      </c>
      <c r="H3872" t="s">
        <v>332</v>
      </c>
      <c r="I3872"/>
    </row>
    <row r="3873" spans="1:9">
      <c r="A3873" t="s">
        <v>3671</v>
      </c>
      <c r="B3873" s="1" t="str">
        <f>"12013012"</f>
        <v>12013012</v>
      </c>
      <c r="C3873" t="s">
        <v>3483</v>
      </c>
      <c r="D3873" t="s">
        <v>3834</v>
      </c>
      <c r="E3873" s="2">
        <v>0.14</v>
      </c>
      <c r="F3873" t="s">
        <v>239</v>
      </c>
      <c r="G3873" t="s">
        <v>25</v>
      </c>
      <c r="H3873" t="s">
        <v>332</v>
      </c>
      <c r="I3873"/>
    </row>
    <row r="3874" spans="1:9">
      <c r="A3874" t="s">
        <v>3671</v>
      </c>
      <c r="B3874" s="1" t="str">
        <f>"12013083"</f>
        <v>12013083</v>
      </c>
      <c r="C3874" t="s">
        <v>3483</v>
      </c>
      <c r="D3874" t="s">
        <v>3835</v>
      </c>
      <c r="E3874" s="2"/>
      <c r="F3874" t="s">
        <v>239</v>
      </c>
      <c r="G3874" t="s">
        <v>25</v>
      </c>
      <c r="H3874" t="s">
        <v>332</v>
      </c>
      <c r="I3874"/>
    </row>
    <row r="3875" spans="1:9">
      <c r="A3875" t="s">
        <v>3671</v>
      </c>
      <c r="B3875" s="1" t="str">
        <f>"20501266"</f>
        <v>20501266</v>
      </c>
      <c r="C3875" t="s">
        <v>3483</v>
      </c>
      <c r="D3875" t="s">
        <v>3836</v>
      </c>
      <c r="E3875" s="2"/>
      <c r="F3875" t="s">
        <v>239</v>
      </c>
      <c r="G3875" t="s">
        <v>25</v>
      </c>
      <c r="H3875" t="s">
        <v>25</v>
      </c>
      <c r="I3875"/>
    </row>
    <row r="3876" spans="1:9">
      <c r="A3876" t="s">
        <v>3671</v>
      </c>
      <c r="B3876" s="1" t="str">
        <f>"12021074"</f>
        <v>12021074</v>
      </c>
      <c r="C3876" t="s">
        <v>3483</v>
      </c>
      <c r="D3876" t="s">
        <v>3837</v>
      </c>
      <c r="E3876" s="2">
        <v>0.125</v>
      </c>
      <c r="F3876" t="s">
        <v>239</v>
      </c>
      <c r="G3876" t="s">
        <v>2780</v>
      </c>
      <c r="H3876" t="s">
        <v>332</v>
      </c>
      <c r="I3876"/>
    </row>
    <row r="3877" spans="1:9">
      <c r="A3877" t="s">
        <v>3671</v>
      </c>
      <c r="B3877" s="1" t="str">
        <f>"12021073"</f>
        <v>12021073</v>
      </c>
      <c r="C3877" t="s">
        <v>3483</v>
      </c>
      <c r="D3877" t="s">
        <v>3838</v>
      </c>
      <c r="E3877" s="2">
        <v>0.14</v>
      </c>
      <c r="F3877" t="s">
        <v>239</v>
      </c>
      <c r="G3877" t="s">
        <v>2780</v>
      </c>
      <c r="H3877" t="s">
        <v>332</v>
      </c>
      <c r="I3877"/>
    </row>
    <row r="3878" spans="1:9">
      <c r="A3878" t="s">
        <v>3671</v>
      </c>
      <c r="B3878" s="1" t="str">
        <f>"12013186"</f>
        <v>12013186</v>
      </c>
      <c r="C3878" t="s">
        <v>3483</v>
      </c>
      <c r="D3878" t="s">
        <v>3839</v>
      </c>
      <c r="E3878" s="2">
        <v>0.145</v>
      </c>
      <c r="F3878" t="s">
        <v>239</v>
      </c>
      <c r="G3878"/>
      <c r="H3878" t="s">
        <v>360</v>
      </c>
      <c r="I3878"/>
    </row>
    <row r="3879" spans="1:9">
      <c r="A3879" t="s">
        <v>3671</v>
      </c>
      <c r="B3879" s="1" t="str">
        <f>"12013178"</f>
        <v>12013178</v>
      </c>
      <c r="C3879" t="s">
        <v>3483</v>
      </c>
      <c r="D3879" t="s">
        <v>3840</v>
      </c>
      <c r="E3879" s="2">
        <v>0.13</v>
      </c>
      <c r="F3879" t="s">
        <v>239</v>
      </c>
      <c r="G3879"/>
      <c r="H3879" t="s">
        <v>360</v>
      </c>
      <c r="I3879"/>
    </row>
    <row r="3880" spans="1:9">
      <c r="A3880" t="s">
        <v>3671</v>
      </c>
      <c r="B3880" s="1" t="str">
        <f>"12013488"</f>
        <v>12013488</v>
      </c>
      <c r="C3880" t="s">
        <v>3483</v>
      </c>
      <c r="D3880" t="s">
        <v>3841</v>
      </c>
      <c r="E3880" s="2"/>
      <c r="F3880" t="s">
        <v>239</v>
      </c>
      <c r="G3880" t="s">
        <v>25</v>
      </c>
      <c r="H3880" t="s">
        <v>332</v>
      </c>
      <c r="I3880"/>
    </row>
    <row r="3881" spans="1:9">
      <c r="A3881" t="s">
        <v>3671</v>
      </c>
      <c r="B3881" s="1" t="str">
        <f>"12013440"</f>
        <v>12013440</v>
      </c>
      <c r="C3881" t="s">
        <v>3483</v>
      </c>
      <c r="D3881" t="s">
        <v>3842</v>
      </c>
      <c r="E3881" s="2">
        <v>0.13</v>
      </c>
      <c r="F3881" t="s">
        <v>239</v>
      </c>
      <c r="G3881" t="s">
        <v>25</v>
      </c>
      <c r="H3881" t="s">
        <v>25</v>
      </c>
      <c r="I3881"/>
    </row>
    <row r="3882" spans="1:9">
      <c r="A3882" t="s">
        <v>3671</v>
      </c>
      <c r="B3882" s="1" t="str">
        <f>"12021070"</f>
        <v>12021070</v>
      </c>
      <c r="C3882" t="s">
        <v>3483</v>
      </c>
      <c r="D3882" t="s">
        <v>3843</v>
      </c>
      <c r="E3882" s="2">
        <v>0.145</v>
      </c>
      <c r="F3882" t="s">
        <v>239</v>
      </c>
      <c r="G3882" t="s">
        <v>2780</v>
      </c>
      <c r="H3882" t="s">
        <v>332</v>
      </c>
      <c r="I3882"/>
    </row>
    <row r="3883" spans="1:9">
      <c r="A3883" t="s">
        <v>3671</v>
      </c>
      <c r="B3883" s="1" t="str">
        <f>"12013034"</f>
        <v>12013034</v>
      </c>
      <c r="C3883" t="s">
        <v>3483</v>
      </c>
      <c r="D3883" t="s">
        <v>3844</v>
      </c>
      <c r="E3883" s="2">
        <v>0.13</v>
      </c>
      <c r="F3883" t="s">
        <v>239</v>
      </c>
      <c r="G3883" t="s">
        <v>29</v>
      </c>
      <c r="H3883" t="s">
        <v>332</v>
      </c>
      <c r="I3883"/>
    </row>
    <row r="3884" spans="1:9">
      <c r="A3884" t="s">
        <v>3671</v>
      </c>
      <c r="B3884" s="1" t="str">
        <f>"12192563"</f>
        <v>12192563</v>
      </c>
      <c r="C3884" t="s">
        <v>3483</v>
      </c>
      <c r="D3884" t="s">
        <v>3845</v>
      </c>
      <c r="E3884" s="2">
        <v>0.135</v>
      </c>
      <c r="F3884" t="s">
        <v>239</v>
      </c>
      <c r="G3884" t="s">
        <v>25</v>
      </c>
      <c r="H3884" t="s">
        <v>332</v>
      </c>
      <c r="I3884"/>
    </row>
    <row r="3885" spans="1:9">
      <c r="A3885" t="s">
        <v>3671</v>
      </c>
      <c r="B3885" s="1" t="str">
        <f>"12013445"</f>
        <v>12013445</v>
      </c>
      <c r="C3885" t="s">
        <v>3483</v>
      </c>
      <c r="D3885" t="s">
        <v>3846</v>
      </c>
      <c r="E3885" s="2">
        <v>0.13</v>
      </c>
      <c r="F3885" t="s">
        <v>239</v>
      </c>
      <c r="G3885" t="s">
        <v>25</v>
      </c>
      <c r="H3885" t="s">
        <v>25</v>
      </c>
      <c r="I3885"/>
    </row>
    <row r="3886" spans="1:9">
      <c r="A3886" t="s">
        <v>3671</v>
      </c>
      <c r="B3886" s="1" t="str">
        <f>"12860111"</f>
        <v>12860111</v>
      </c>
      <c r="C3886" t="s">
        <v>3483</v>
      </c>
      <c r="D3886" t="s">
        <v>3847</v>
      </c>
      <c r="E3886" s="2">
        <v>0.14</v>
      </c>
      <c r="F3886" t="s">
        <v>239</v>
      </c>
      <c r="G3886"/>
      <c r="H3886" t="s">
        <v>332</v>
      </c>
      <c r="I3886"/>
    </row>
    <row r="3887" spans="1:9">
      <c r="A3887" t="s">
        <v>3671</v>
      </c>
      <c r="B3887" s="1" t="str">
        <f>"12013489"</f>
        <v>12013489</v>
      </c>
      <c r="C3887" t="s">
        <v>3483</v>
      </c>
      <c r="D3887" t="s">
        <v>3848</v>
      </c>
      <c r="E3887" s="2"/>
      <c r="F3887" t="s">
        <v>239</v>
      </c>
      <c r="G3887" t="s">
        <v>25</v>
      </c>
      <c r="H3887" t="s">
        <v>332</v>
      </c>
      <c r="I3887"/>
    </row>
    <row r="3888" spans="1:9">
      <c r="A3888" t="s">
        <v>3671</v>
      </c>
      <c r="B3888" s="1" t="str">
        <f>"12202046"</f>
        <v>12202046</v>
      </c>
      <c r="C3888" t="s">
        <v>3483</v>
      </c>
      <c r="D3888" t="s">
        <v>3849</v>
      </c>
      <c r="E3888" s="2">
        <v>0.14</v>
      </c>
      <c r="F3888" t="s">
        <v>239</v>
      </c>
      <c r="G3888" t="s">
        <v>25</v>
      </c>
      <c r="H3888" t="s">
        <v>332</v>
      </c>
      <c r="I3888"/>
    </row>
    <row r="3889" spans="1:9">
      <c r="A3889" t="s">
        <v>3671</v>
      </c>
      <c r="B3889" s="1" t="str">
        <f>"12202047"</f>
        <v>12202047</v>
      </c>
      <c r="C3889" t="s">
        <v>3483</v>
      </c>
      <c r="D3889" t="s">
        <v>3850</v>
      </c>
      <c r="E3889" s="2">
        <v>0.145</v>
      </c>
      <c r="F3889" t="s">
        <v>239</v>
      </c>
      <c r="G3889" t="s">
        <v>25</v>
      </c>
      <c r="H3889" t="s">
        <v>332</v>
      </c>
      <c r="I3889"/>
    </row>
    <row r="3890" spans="1:9">
      <c r="A3890" t="s">
        <v>3671</v>
      </c>
      <c r="B3890" s="1" t="str">
        <f>"12202048"</f>
        <v>12202048</v>
      </c>
      <c r="C3890" t="s">
        <v>3483</v>
      </c>
      <c r="D3890" t="s">
        <v>3851</v>
      </c>
      <c r="E3890" s="2">
        <v>0.13</v>
      </c>
      <c r="F3890" t="s">
        <v>239</v>
      </c>
      <c r="G3890" t="s">
        <v>25</v>
      </c>
      <c r="H3890" t="s">
        <v>332</v>
      </c>
      <c r="I3890"/>
    </row>
    <row r="3891" spans="1:9">
      <c r="A3891" t="s">
        <v>3671</v>
      </c>
      <c r="B3891" s="1" t="str">
        <f>"12013087"</f>
        <v>12013087</v>
      </c>
      <c r="C3891" t="s">
        <v>3483</v>
      </c>
      <c r="D3891" t="s">
        <v>3852</v>
      </c>
      <c r="E3891" s="2"/>
      <c r="F3891" t="s">
        <v>239</v>
      </c>
      <c r="G3891" t="s">
        <v>25</v>
      </c>
      <c r="H3891" t="s">
        <v>332</v>
      </c>
      <c r="I3891"/>
    </row>
    <row r="3892" spans="1:9">
      <c r="A3892" t="s">
        <v>3671</v>
      </c>
      <c r="B3892" s="1" t="str">
        <f>"12013088"</f>
        <v>12013088</v>
      </c>
      <c r="C3892" t="s">
        <v>3483</v>
      </c>
      <c r="D3892" t="s">
        <v>3853</v>
      </c>
      <c r="E3892" s="2"/>
      <c r="F3892" t="s">
        <v>239</v>
      </c>
      <c r="G3892" t="s">
        <v>25</v>
      </c>
      <c r="H3892" t="s">
        <v>25</v>
      </c>
      <c r="I3892"/>
    </row>
    <row r="3893" spans="1:9">
      <c r="A3893" t="s">
        <v>3671</v>
      </c>
      <c r="B3893" s="1" t="str">
        <f>"12013442"</f>
        <v>12013442</v>
      </c>
      <c r="C3893" t="s">
        <v>3483</v>
      </c>
      <c r="D3893" t="s">
        <v>3854</v>
      </c>
      <c r="E3893" s="2">
        <v>0.12</v>
      </c>
      <c r="F3893" t="s">
        <v>239</v>
      </c>
      <c r="G3893" t="s">
        <v>25</v>
      </c>
      <c r="H3893" t="s">
        <v>25</v>
      </c>
      <c r="I3893"/>
    </row>
    <row r="3894" spans="1:9">
      <c r="A3894" t="s">
        <v>3671</v>
      </c>
      <c r="B3894" s="1" t="str">
        <f>"12202055"</f>
        <v>12202055</v>
      </c>
      <c r="C3894" t="s">
        <v>3483</v>
      </c>
      <c r="D3894" t="s">
        <v>3855</v>
      </c>
      <c r="E3894" s="2">
        <v>0.12</v>
      </c>
      <c r="F3894" t="s">
        <v>239</v>
      </c>
      <c r="G3894" t="s">
        <v>25</v>
      </c>
      <c r="H3894" t="s">
        <v>25</v>
      </c>
      <c r="I3894"/>
    </row>
    <row r="3895" spans="1:9">
      <c r="A3895" t="s">
        <v>3671</v>
      </c>
      <c r="B3895" s="1" t="str">
        <f>"12013443"</f>
        <v>12013443</v>
      </c>
      <c r="C3895" t="s">
        <v>3483</v>
      </c>
      <c r="D3895" t="s">
        <v>3856</v>
      </c>
      <c r="E3895" s="2">
        <v>0.13</v>
      </c>
      <c r="F3895" t="s">
        <v>239</v>
      </c>
      <c r="G3895" t="s">
        <v>25</v>
      </c>
      <c r="H3895" t="s">
        <v>332</v>
      </c>
      <c r="I3895"/>
    </row>
    <row r="3896" spans="1:9">
      <c r="A3896" t="s">
        <v>3671</v>
      </c>
      <c r="B3896" s="1" t="str">
        <f>"12202056"</f>
        <v>12202056</v>
      </c>
      <c r="C3896" t="s">
        <v>3483</v>
      </c>
      <c r="D3896" t="s">
        <v>3857</v>
      </c>
      <c r="E3896" s="2">
        <v>0.15</v>
      </c>
      <c r="F3896" t="s">
        <v>239</v>
      </c>
      <c r="G3896" t="s">
        <v>25</v>
      </c>
      <c r="H3896" t="s">
        <v>332</v>
      </c>
      <c r="I3896"/>
    </row>
    <row r="3897" spans="1:9">
      <c r="A3897" t="s">
        <v>3671</v>
      </c>
      <c r="B3897" s="1" t="str">
        <f>"12202039"</f>
        <v>12202039</v>
      </c>
      <c r="C3897" t="s">
        <v>3483</v>
      </c>
      <c r="D3897" t="s">
        <v>3858</v>
      </c>
      <c r="E3897" s="2">
        <v>0.145</v>
      </c>
      <c r="F3897" t="s">
        <v>239</v>
      </c>
      <c r="G3897" t="s">
        <v>25</v>
      </c>
      <c r="H3897" t="s">
        <v>332</v>
      </c>
      <c r="I3897"/>
    </row>
    <row r="3898" spans="1:9">
      <c r="A3898" t="s">
        <v>3671</v>
      </c>
      <c r="B3898" s="1" t="str">
        <f>"12202040"</f>
        <v>12202040</v>
      </c>
      <c r="C3898" t="s">
        <v>3483</v>
      </c>
      <c r="D3898" t="s">
        <v>3859</v>
      </c>
      <c r="E3898" s="2">
        <v>0.14</v>
      </c>
      <c r="F3898" t="s">
        <v>239</v>
      </c>
      <c r="G3898" t="s">
        <v>25</v>
      </c>
      <c r="H3898" t="s">
        <v>332</v>
      </c>
      <c r="I3898"/>
    </row>
    <row r="3899" spans="1:9">
      <c r="A3899" t="s">
        <v>3671</v>
      </c>
      <c r="B3899" s="1" t="str">
        <f>"12202041"</f>
        <v>12202041</v>
      </c>
      <c r="C3899" t="s">
        <v>3483</v>
      </c>
      <c r="D3899" t="s">
        <v>3860</v>
      </c>
      <c r="E3899" s="2">
        <v>0.145</v>
      </c>
      <c r="F3899" t="s">
        <v>239</v>
      </c>
      <c r="G3899" t="s">
        <v>25</v>
      </c>
      <c r="H3899" t="s">
        <v>332</v>
      </c>
      <c r="I3899"/>
    </row>
    <row r="3900" spans="1:9">
      <c r="A3900" t="s">
        <v>3671</v>
      </c>
      <c r="B3900" s="1" t="str">
        <f>"20225674"</f>
        <v>20225674</v>
      </c>
      <c r="C3900" t="s">
        <v>3483</v>
      </c>
      <c r="D3900" t="s">
        <v>3861</v>
      </c>
      <c r="E3900" s="2"/>
      <c r="F3900" t="s">
        <v>239</v>
      </c>
      <c r="G3900" t="s">
        <v>25</v>
      </c>
      <c r="H3900" t="s">
        <v>25</v>
      </c>
      <c r="I3900"/>
    </row>
    <row r="3901" spans="1:9">
      <c r="A3901" t="s">
        <v>3671</v>
      </c>
      <c r="B3901" s="1" t="str">
        <f>"20563110"</f>
        <v>20563110</v>
      </c>
      <c r="C3901" t="s">
        <v>3483</v>
      </c>
      <c r="D3901" t="s">
        <v>3862</v>
      </c>
      <c r="E3901" s="2"/>
      <c r="F3901" t="s">
        <v>239</v>
      </c>
      <c r="G3901" t="s">
        <v>25</v>
      </c>
      <c r="H3901" t="s">
        <v>25</v>
      </c>
      <c r="I3901"/>
    </row>
    <row r="3902" spans="1:9">
      <c r="A3902" t="s">
        <v>3671</v>
      </c>
      <c r="B3902" s="1" t="str">
        <f>"21838772"</f>
        <v>21838772</v>
      </c>
      <c r="C3902" t="s">
        <v>3483</v>
      </c>
      <c r="D3902" t="s">
        <v>3863</v>
      </c>
      <c r="E3902" s="2"/>
      <c r="F3902" t="s">
        <v>3630</v>
      </c>
      <c r="G3902" t="s">
        <v>44</v>
      </c>
      <c r="H3902" t="s">
        <v>44</v>
      </c>
      <c r="I3902"/>
    </row>
    <row r="3903" spans="1:9">
      <c r="A3903" t="s">
        <v>3671</v>
      </c>
      <c r="B3903" s="1" t="str">
        <f>"12013090"</f>
        <v>12013090</v>
      </c>
      <c r="C3903" t="s">
        <v>3483</v>
      </c>
      <c r="D3903" t="s">
        <v>3864</v>
      </c>
      <c r="E3903" s="2"/>
      <c r="F3903" t="s">
        <v>239</v>
      </c>
      <c r="G3903" t="s">
        <v>25</v>
      </c>
      <c r="H3903" t="s">
        <v>332</v>
      </c>
      <c r="I3903"/>
    </row>
    <row r="3904" spans="1:9">
      <c r="A3904" t="s">
        <v>3671</v>
      </c>
      <c r="B3904" s="1" t="str">
        <f>"20504311"</f>
        <v>20504311</v>
      </c>
      <c r="C3904" t="s">
        <v>3483</v>
      </c>
      <c r="D3904" t="s">
        <v>3865</v>
      </c>
      <c r="E3904" s="2">
        <v>0.13</v>
      </c>
      <c r="F3904" t="s">
        <v>239</v>
      </c>
      <c r="G3904" t="s">
        <v>25</v>
      </c>
      <c r="H3904" t="s">
        <v>25</v>
      </c>
      <c r="I3904"/>
    </row>
    <row r="3905" spans="1:9">
      <c r="A3905" t="s">
        <v>3671</v>
      </c>
      <c r="B3905" s="1" t="str">
        <f>"12021077"</f>
        <v>12021077</v>
      </c>
      <c r="C3905" t="s">
        <v>3483</v>
      </c>
      <c r="D3905" t="s">
        <v>3866</v>
      </c>
      <c r="E3905" s="2">
        <v>0.13</v>
      </c>
      <c r="F3905" t="s">
        <v>239</v>
      </c>
      <c r="G3905" t="s">
        <v>2780</v>
      </c>
      <c r="H3905" t="s">
        <v>2780</v>
      </c>
      <c r="I3905"/>
    </row>
    <row r="3906" spans="1:9">
      <c r="A3906" t="s">
        <v>3671</v>
      </c>
      <c r="B3906" s="1" t="str">
        <f>"12021078"</f>
        <v>12021078</v>
      </c>
      <c r="C3906" t="s">
        <v>3483</v>
      </c>
      <c r="D3906" t="s">
        <v>3867</v>
      </c>
      <c r="E3906" s="2">
        <v>0.155</v>
      </c>
      <c r="F3906" t="s">
        <v>239</v>
      </c>
      <c r="G3906" t="s">
        <v>2780</v>
      </c>
      <c r="H3906" t="s">
        <v>332</v>
      </c>
      <c r="I3906"/>
    </row>
    <row r="3907" spans="1:9">
      <c r="A3907" t="s">
        <v>3671</v>
      </c>
      <c r="B3907" s="1" t="str">
        <f>"12021076"</f>
        <v>12021076</v>
      </c>
      <c r="C3907" t="s">
        <v>3483</v>
      </c>
      <c r="D3907" t="s">
        <v>3868</v>
      </c>
      <c r="E3907" s="2">
        <v>0.145</v>
      </c>
      <c r="F3907" t="s">
        <v>239</v>
      </c>
      <c r="G3907" t="s">
        <v>2780</v>
      </c>
      <c r="H3907" t="s">
        <v>332</v>
      </c>
      <c r="I3907"/>
    </row>
    <row r="3908" spans="1:9">
      <c r="A3908" t="s">
        <v>3671</v>
      </c>
      <c r="B3908" s="1" t="str">
        <f>"12013086"</f>
        <v>12013086</v>
      </c>
      <c r="C3908" t="s">
        <v>3483</v>
      </c>
      <c r="D3908" t="s">
        <v>3869</v>
      </c>
      <c r="E3908" s="2"/>
      <c r="F3908" t="s">
        <v>239</v>
      </c>
      <c r="G3908" t="s">
        <v>25</v>
      </c>
      <c r="H3908" t="s">
        <v>332</v>
      </c>
      <c r="I3908"/>
    </row>
    <row r="3909" spans="1:9">
      <c r="A3909" t="s">
        <v>3671</v>
      </c>
      <c r="B3909" s="1" t="str">
        <f>"12013092"</f>
        <v>12013092</v>
      </c>
      <c r="C3909" t="s">
        <v>3483</v>
      </c>
      <c r="D3909" t="s">
        <v>3870</v>
      </c>
      <c r="E3909" s="2"/>
      <c r="F3909" t="s">
        <v>239</v>
      </c>
      <c r="G3909" t="s">
        <v>25</v>
      </c>
      <c r="H3909" t="s">
        <v>332</v>
      </c>
      <c r="I3909"/>
    </row>
    <row r="3910" spans="1:9">
      <c r="A3910" t="s">
        <v>3671</v>
      </c>
      <c r="B3910" s="1" t="str">
        <f>"12021079"</f>
        <v>12021079</v>
      </c>
      <c r="C3910" t="s">
        <v>3483</v>
      </c>
      <c r="D3910" t="s">
        <v>3871</v>
      </c>
      <c r="E3910" s="2">
        <v>0.15</v>
      </c>
      <c r="F3910" t="s">
        <v>239</v>
      </c>
      <c r="G3910" t="s">
        <v>2780</v>
      </c>
      <c r="H3910" t="s">
        <v>332</v>
      </c>
      <c r="I3910"/>
    </row>
    <row r="3911" spans="1:9">
      <c r="A3911" t="s">
        <v>3671</v>
      </c>
      <c r="B3911" s="1" t="str">
        <f>"12013135"</f>
        <v>12013135</v>
      </c>
      <c r="C3911" t="s">
        <v>3483</v>
      </c>
      <c r="D3911" t="s">
        <v>3872</v>
      </c>
      <c r="E3911" s="2">
        <v>0.14</v>
      </c>
      <c r="F3911" t="s">
        <v>239</v>
      </c>
      <c r="G3911" t="s">
        <v>25</v>
      </c>
      <c r="H3911" t="s">
        <v>332</v>
      </c>
      <c r="I3911"/>
    </row>
    <row r="3912" spans="1:9">
      <c r="A3912" t="s">
        <v>3671</v>
      </c>
      <c r="B3912" s="1" t="str">
        <f>"12020038"</f>
        <v>12020038</v>
      </c>
      <c r="C3912" t="s">
        <v>3483</v>
      </c>
      <c r="D3912" t="s">
        <v>3873</v>
      </c>
      <c r="E3912" s="2">
        <v>0.125</v>
      </c>
      <c r="F3912" t="s">
        <v>239</v>
      </c>
      <c r="G3912" t="s">
        <v>25</v>
      </c>
      <c r="H3912" t="s">
        <v>25</v>
      </c>
      <c r="I3912"/>
    </row>
    <row r="3913" spans="1:9">
      <c r="A3913" t="s">
        <v>3671</v>
      </c>
      <c r="B3913" s="1" t="str">
        <f>"12013568"</f>
        <v>12013568</v>
      </c>
      <c r="C3913" t="s">
        <v>3483</v>
      </c>
      <c r="D3913" t="s">
        <v>3874</v>
      </c>
      <c r="E3913" s="2">
        <v>0.13</v>
      </c>
      <c r="F3913" t="s">
        <v>239</v>
      </c>
      <c r="G3913" t="s">
        <v>25</v>
      </c>
      <c r="H3913" t="s">
        <v>332</v>
      </c>
      <c r="I3913"/>
    </row>
    <row r="3914" spans="1:9">
      <c r="A3914" t="s">
        <v>3671</v>
      </c>
      <c r="B3914" s="1" t="str">
        <f>"12013563"</f>
        <v>12013563</v>
      </c>
      <c r="C3914" t="s">
        <v>3483</v>
      </c>
      <c r="D3914" t="s">
        <v>3875</v>
      </c>
      <c r="E3914" s="2"/>
      <c r="F3914" t="s">
        <v>239</v>
      </c>
      <c r="G3914" t="s">
        <v>25</v>
      </c>
      <c r="H3914" t="s">
        <v>332</v>
      </c>
      <c r="I3914"/>
    </row>
    <row r="3915" spans="1:9">
      <c r="A3915" t="s">
        <v>3671</v>
      </c>
      <c r="B3915" s="1" t="str">
        <f>"20034566"</f>
        <v>20034566</v>
      </c>
      <c r="C3915" t="s">
        <v>3483</v>
      </c>
      <c r="D3915" t="s">
        <v>3876</v>
      </c>
      <c r="E3915" s="2"/>
      <c r="F3915" t="s">
        <v>239</v>
      </c>
      <c r="G3915" t="s">
        <v>25</v>
      </c>
      <c r="H3915" t="s">
        <v>25</v>
      </c>
      <c r="I3915"/>
    </row>
    <row r="3916" spans="1:9">
      <c r="A3916" t="s">
        <v>3671</v>
      </c>
      <c r="B3916" s="1" t="str">
        <f>"12013076"</f>
        <v>12013076</v>
      </c>
      <c r="C3916" t="s">
        <v>3483</v>
      </c>
      <c r="D3916" t="s">
        <v>3877</v>
      </c>
      <c r="E3916" s="2"/>
      <c r="F3916" t="s">
        <v>239</v>
      </c>
      <c r="G3916" t="s">
        <v>25</v>
      </c>
      <c r="H3916" t="s">
        <v>332</v>
      </c>
      <c r="I3916"/>
    </row>
    <row r="3917" spans="1:9">
      <c r="A3917" t="s">
        <v>3671</v>
      </c>
      <c r="B3917" s="1" t="str">
        <f>"20108267"</f>
        <v>20108267</v>
      </c>
      <c r="C3917" t="s">
        <v>3483</v>
      </c>
      <c r="D3917" t="s">
        <v>3878</v>
      </c>
      <c r="E3917" s="2"/>
      <c r="F3917" t="s">
        <v>239</v>
      </c>
      <c r="G3917" t="s">
        <v>25</v>
      </c>
      <c r="H3917" t="s">
        <v>25</v>
      </c>
      <c r="I3917"/>
    </row>
    <row r="3918" spans="1:9">
      <c r="A3918" t="s">
        <v>3671</v>
      </c>
      <c r="B3918" s="1" t="str">
        <f>"12013190"</f>
        <v>12013190</v>
      </c>
      <c r="C3918" t="s">
        <v>3483</v>
      </c>
      <c r="D3918" t="s">
        <v>3484</v>
      </c>
      <c r="E3918" s="2">
        <v>0.13</v>
      </c>
      <c r="F3918" t="s">
        <v>2947</v>
      </c>
      <c r="G3918"/>
      <c r="H3918" t="s">
        <v>3485</v>
      </c>
      <c r="I3918"/>
    </row>
    <row r="3919" spans="1:9">
      <c r="A3919" t="s">
        <v>3671</v>
      </c>
      <c r="B3919" s="1" t="str">
        <f>"12013191"</f>
        <v>12013191</v>
      </c>
      <c r="C3919" t="s">
        <v>3483</v>
      </c>
      <c r="D3919" t="s">
        <v>3484</v>
      </c>
      <c r="E3919" s="2">
        <v>0.13</v>
      </c>
      <c r="F3919" t="s">
        <v>239</v>
      </c>
      <c r="G3919"/>
      <c r="H3919" t="s">
        <v>2780</v>
      </c>
      <c r="I3919"/>
    </row>
    <row r="3920" spans="1:9">
      <c r="A3920" t="s">
        <v>3671</v>
      </c>
      <c r="B3920" s="1" t="str">
        <f>"12192633"</f>
        <v>12192633</v>
      </c>
      <c r="C3920" t="s">
        <v>3483</v>
      </c>
      <c r="D3920" t="s">
        <v>3879</v>
      </c>
      <c r="E3920" s="2">
        <v>0.165</v>
      </c>
      <c r="F3920" t="s">
        <v>239</v>
      </c>
      <c r="G3920" t="s">
        <v>25</v>
      </c>
      <c r="H3920" t="s">
        <v>332</v>
      </c>
      <c r="I3920"/>
    </row>
    <row r="3921" spans="1:9">
      <c r="A3921" t="s">
        <v>3671</v>
      </c>
      <c r="B3921" s="1" t="str">
        <f>"12192637"</f>
        <v>12192637</v>
      </c>
      <c r="C3921" t="s">
        <v>3483</v>
      </c>
      <c r="D3921" t="s">
        <v>3880</v>
      </c>
      <c r="E3921" s="2">
        <v>0.135</v>
      </c>
      <c r="F3921" t="s">
        <v>239</v>
      </c>
      <c r="G3921" t="s">
        <v>25</v>
      </c>
      <c r="H3921" t="s">
        <v>332</v>
      </c>
      <c r="I3921"/>
    </row>
    <row r="3922" spans="1:9">
      <c r="A3922" t="s">
        <v>3671</v>
      </c>
      <c r="B3922" s="1" t="str">
        <f>"12202007"</f>
        <v>12202007</v>
      </c>
      <c r="C3922" t="s">
        <v>3881</v>
      </c>
      <c r="D3922" t="s">
        <v>3882</v>
      </c>
      <c r="E3922" s="2">
        <v>0.13</v>
      </c>
      <c r="F3922" t="s">
        <v>239</v>
      </c>
      <c r="G3922" t="s">
        <v>25</v>
      </c>
      <c r="H3922" t="s">
        <v>332</v>
      </c>
      <c r="I3922"/>
    </row>
    <row r="3923" spans="1:9">
      <c r="A3923" t="s">
        <v>3671</v>
      </c>
      <c r="B3923" s="1" t="str">
        <f>"12021082"</f>
        <v>12021082</v>
      </c>
      <c r="C3923" t="s">
        <v>3883</v>
      </c>
      <c r="D3923" t="s">
        <v>3884</v>
      </c>
      <c r="E3923" s="2">
        <v>0.13</v>
      </c>
      <c r="F3923" t="s">
        <v>239</v>
      </c>
      <c r="G3923" t="s">
        <v>2780</v>
      </c>
      <c r="H3923" t="s">
        <v>2780</v>
      </c>
      <c r="I3923"/>
    </row>
    <row r="3924" spans="1:9">
      <c r="A3924" t="s">
        <v>3671</v>
      </c>
      <c r="B3924" s="1" t="str">
        <f>"12021083"</f>
        <v>12021083</v>
      </c>
      <c r="C3924" t="s">
        <v>3883</v>
      </c>
      <c r="D3924" t="s">
        <v>3885</v>
      </c>
      <c r="E3924" s="2">
        <v>0.13</v>
      </c>
      <c r="F3924" t="s">
        <v>239</v>
      </c>
      <c r="G3924" t="s">
        <v>2780</v>
      </c>
      <c r="H3924" t="s">
        <v>332</v>
      </c>
      <c r="I3924"/>
    </row>
    <row r="3925" spans="1:9">
      <c r="A3925" t="s">
        <v>3671</v>
      </c>
      <c r="B3925" s="1" t="str">
        <f>"12013100"</f>
        <v>12013100</v>
      </c>
      <c r="C3925" t="s">
        <v>3883</v>
      </c>
      <c r="D3925" t="s">
        <v>3886</v>
      </c>
      <c r="E3925" s="2"/>
      <c r="F3925" t="s">
        <v>239</v>
      </c>
      <c r="G3925" t="s">
        <v>25</v>
      </c>
      <c r="H3925" t="s">
        <v>332</v>
      </c>
      <c r="I3925"/>
    </row>
    <row r="3926" spans="1:9">
      <c r="A3926" t="s">
        <v>3671</v>
      </c>
      <c r="B3926" s="1" t="str">
        <f>"12021081"</f>
        <v>12021081</v>
      </c>
      <c r="C3926" t="s">
        <v>3883</v>
      </c>
      <c r="D3926" t="s">
        <v>3887</v>
      </c>
      <c r="E3926" s="2">
        <v>0.14</v>
      </c>
      <c r="F3926" t="s">
        <v>239</v>
      </c>
      <c r="G3926" t="s">
        <v>2780</v>
      </c>
      <c r="H3926" t="s">
        <v>2780</v>
      </c>
      <c r="I3926"/>
    </row>
    <row r="3927" spans="1:9">
      <c r="A3927" t="s">
        <v>3671</v>
      </c>
      <c r="B3927" s="1" t="str">
        <f>"12023011"</f>
        <v>12023011</v>
      </c>
      <c r="C3927" t="s">
        <v>3888</v>
      </c>
      <c r="D3927" t="s">
        <v>3889</v>
      </c>
      <c r="E3927" s="2">
        <v>0.135</v>
      </c>
      <c r="F3927" t="s">
        <v>239</v>
      </c>
      <c r="G3927"/>
      <c r="H3927" t="s">
        <v>240</v>
      </c>
      <c r="I3927"/>
    </row>
    <row r="3928" spans="1:9">
      <c r="A3928" t="s">
        <v>3671</v>
      </c>
      <c r="B3928" s="1" t="str">
        <f>"12023013"</f>
        <v>12023013</v>
      </c>
      <c r="C3928" t="s">
        <v>3888</v>
      </c>
      <c r="D3928" t="s">
        <v>3890</v>
      </c>
      <c r="E3928" s="2">
        <v>0.135</v>
      </c>
      <c r="F3928" t="s">
        <v>239</v>
      </c>
      <c r="G3928"/>
      <c r="H3928" t="s">
        <v>240</v>
      </c>
      <c r="I3928"/>
    </row>
    <row r="3929" spans="1:9">
      <c r="A3929" t="s">
        <v>3671</v>
      </c>
      <c r="B3929" s="1" t="str">
        <f>"12023010"</f>
        <v>12023010</v>
      </c>
      <c r="C3929" t="s">
        <v>3888</v>
      </c>
      <c r="D3929" t="s">
        <v>3891</v>
      </c>
      <c r="E3929" s="2">
        <v>0.135</v>
      </c>
      <c r="F3929" t="s">
        <v>239</v>
      </c>
      <c r="G3929"/>
      <c r="H3929" t="s">
        <v>240</v>
      </c>
      <c r="I3929"/>
    </row>
    <row r="3930" spans="1:9">
      <c r="A3930" t="s">
        <v>3671</v>
      </c>
      <c r="B3930" s="1" t="str">
        <f>"12013474"</f>
        <v>12013474</v>
      </c>
      <c r="C3930" t="s">
        <v>3888</v>
      </c>
      <c r="D3930" t="s">
        <v>3892</v>
      </c>
      <c r="E3930" s="2"/>
      <c r="F3930" t="s">
        <v>239</v>
      </c>
      <c r="G3930" t="s">
        <v>25</v>
      </c>
      <c r="H3930" t="s">
        <v>25</v>
      </c>
      <c r="I3930"/>
    </row>
    <row r="3931" spans="1:9">
      <c r="A3931" t="s">
        <v>3671</v>
      </c>
      <c r="B3931" s="1" t="str">
        <f>"20167028"</f>
        <v>20167028</v>
      </c>
      <c r="C3931" t="s">
        <v>3888</v>
      </c>
      <c r="D3931" t="s">
        <v>3893</v>
      </c>
      <c r="E3931" s="2"/>
      <c r="F3931" t="s">
        <v>239</v>
      </c>
      <c r="G3931" t="s">
        <v>25</v>
      </c>
      <c r="H3931" t="s">
        <v>25</v>
      </c>
      <c r="I3931"/>
    </row>
    <row r="3932" spans="1:9">
      <c r="A3932" t="s">
        <v>3671</v>
      </c>
      <c r="B3932" s="1" t="str">
        <f>"12013554"</f>
        <v>12013554</v>
      </c>
      <c r="C3932" t="s">
        <v>3888</v>
      </c>
      <c r="D3932" t="s">
        <v>3894</v>
      </c>
      <c r="E3932" s="2"/>
      <c r="F3932" t="s">
        <v>239</v>
      </c>
      <c r="G3932" t="s">
        <v>25</v>
      </c>
      <c r="H3932" t="s">
        <v>25</v>
      </c>
      <c r="I3932"/>
    </row>
    <row r="3933" spans="1:9">
      <c r="A3933" t="s">
        <v>3671</v>
      </c>
      <c r="B3933" s="1" t="str">
        <f>"20167073"</f>
        <v>20167073</v>
      </c>
      <c r="C3933" t="s">
        <v>3888</v>
      </c>
      <c r="D3933" t="s">
        <v>3895</v>
      </c>
      <c r="E3933" s="2"/>
      <c r="F3933" t="s">
        <v>239</v>
      </c>
      <c r="G3933" t="s">
        <v>25</v>
      </c>
      <c r="H3933" t="s">
        <v>25</v>
      </c>
      <c r="I3933"/>
    </row>
    <row r="3934" spans="1:9">
      <c r="A3934" t="s">
        <v>3671</v>
      </c>
      <c r="B3934" s="1" t="str">
        <f>"12013589"</f>
        <v>12013589</v>
      </c>
      <c r="C3934" t="s">
        <v>3888</v>
      </c>
      <c r="D3934" t="s">
        <v>3896</v>
      </c>
      <c r="E3934" s="2">
        <v>0.135</v>
      </c>
      <c r="F3934" t="s">
        <v>239</v>
      </c>
      <c r="G3934" t="s">
        <v>25</v>
      </c>
      <c r="H3934" t="s">
        <v>332</v>
      </c>
      <c r="I3934"/>
    </row>
    <row r="3935" spans="1:9">
      <c r="A3935" t="s">
        <v>3671</v>
      </c>
      <c r="B3935" s="1" t="str">
        <f>"12016618"</f>
        <v>12016618</v>
      </c>
      <c r="C3935" t="s">
        <v>3888</v>
      </c>
      <c r="D3935" t="s">
        <v>3897</v>
      </c>
      <c r="E3935" s="2">
        <v>0.137</v>
      </c>
      <c r="F3935" t="s">
        <v>239</v>
      </c>
      <c r="G3935" t="s">
        <v>25</v>
      </c>
      <c r="H3935" t="s">
        <v>332</v>
      </c>
      <c r="I3935"/>
    </row>
    <row r="3936" spans="1:9">
      <c r="A3936" t="s">
        <v>3671</v>
      </c>
      <c r="B3936" s="1" t="str">
        <f>"12013475"</f>
        <v>12013475</v>
      </c>
      <c r="C3936" t="s">
        <v>3888</v>
      </c>
      <c r="D3936" t="s">
        <v>3898</v>
      </c>
      <c r="E3936" s="2"/>
      <c r="F3936" t="s">
        <v>239</v>
      </c>
      <c r="G3936" t="s">
        <v>25</v>
      </c>
      <c r="H3936" t="s">
        <v>332</v>
      </c>
      <c r="I3936"/>
    </row>
    <row r="3937" spans="1:9">
      <c r="A3937" t="s">
        <v>3671</v>
      </c>
      <c r="B3937" s="1" t="str">
        <f>"12013492"</f>
        <v>12013492</v>
      </c>
      <c r="C3937" t="s">
        <v>3888</v>
      </c>
      <c r="D3937" t="s">
        <v>3899</v>
      </c>
      <c r="E3937" s="2"/>
      <c r="F3937" t="s">
        <v>239</v>
      </c>
      <c r="G3937" t="s">
        <v>29</v>
      </c>
      <c r="H3937" t="s">
        <v>332</v>
      </c>
      <c r="I3937"/>
    </row>
    <row r="3938" spans="1:9">
      <c r="A3938" t="s">
        <v>3671</v>
      </c>
      <c r="B3938" s="1" t="str">
        <f>"12013436"</f>
        <v>12013436</v>
      </c>
      <c r="C3938" t="s">
        <v>3888</v>
      </c>
      <c r="D3938" t="s">
        <v>3900</v>
      </c>
      <c r="E3938" s="2">
        <v>0.135</v>
      </c>
      <c r="F3938" t="s">
        <v>239</v>
      </c>
      <c r="G3938" t="s">
        <v>25</v>
      </c>
      <c r="H3938" t="s">
        <v>25</v>
      </c>
      <c r="I3938"/>
    </row>
    <row r="3939" spans="1:9">
      <c r="A3939" t="s">
        <v>3671</v>
      </c>
      <c r="B3939" s="1" t="str">
        <f>"12020029"</f>
        <v>12020029</v>
      </c>
      <c r="C3939" t="s">
        <v>3888</v>
      </c>
      <c r="D3939" t="s">
        <v>3901</v>
      </c>
      <c r="E3939" s="2">
        <v>0.15</v>
      </c>
      <c r="F3939" t="s">
        <v>239</v>
      </c>
      <c r="G3939" t="s">
        <v>29</v>
      </c>
      <c r="H3939" t="s">
        <v>332</v>
      </c>
      <c r="I3939"/>
    </row>
    <row r="3940" spans="1:9">
      <c r="A3940" t="s">
        <v>3671</v>
      </c>
      <c r="B3940" s="1" t="str">
        <f>"12020024"</f>
        <v>12020024</v>
      </c>
      <c r="C3940" t="s">
        <v>3902</v>
      </c>
      <c r="D3940" t="s">
        <v>3903</v>
      </c>
      <c r="E3940" s="2">
        <v>0.145</v>
      </c>
      <c r="F3940" t="s">
        <v>239</v>
      </c>
      <c r="G3940" t="s">
        <v>25</v>
      </c>
      <c r="H3940" t="s">
        <v>332</v>
      </c>
      <c r="I3940"/>
    </row>
    <row r="3941" spans="1:9">
      <c r="A3941" t="s">
        <v>3671</v>
      </c>
      <c r="B3941" s="1" t="str">
        <f>"12192531"</f>
        <v>12192531</v>
      </c>
      <c r="C3941" t="s">
        <v>3902</v>
      </c>
      <c r="D3941" t="s">
        <v>3904</v>
      </c>
      <c r="E3941" s="2"/>
      <c r="F3941" t="s">
        <v>239</v>
      </c>
      <c r="G3941" t="s">
        <v>25</v>
      </c>
      <c r="H3941" t="s">
        <v>332</v>
      </c>
      <c r="I3941"/>
    </row>
    <row r="3942" spans="1:9">
      <c r="A3942" t="s">
        <v>3671</v>
      </c>
      <c r="B3942" s="1" t="str">
        <f>"12013558"</f>
        <v>12013558</v>
      </c>
      <c r="C3942" t="s">
        <v>3902</v>
      </c>
      <c r="D3942" t="s">
        <v>3905</v>
      </c>
      <c r="E3942" s="2">
        <v>0.14</v>
      </c>
      <c r="F3942" t="s">
        <v>239</v>
      </c>
      <c r="G3942" t="s">
        <v>25</v>
      </c>
      <c r="H3942" t="s">
        <v>25</v>
      </c>
      <c r="I3942"/>
    </row>
    <row r="3943" spans="1:9">
      <c r="A3943" t="s">
        <v>3671</v>
      </c>
      <c r="B3943" s="1" t="str">
        <f>"22391719"</f>
        <v>22391719</v>
      </c>
      <c r="C3943" t="s">
        <v>3902</v>
      </c>
      <c r="D3943" t="s">
        <v>3906</v>
      </c>
      <c r="E3943" s="2">
        <v>0.14</v>
      </c>
      <c r="F3943" t="s">
        <v>239</v>
      </c>
      <c r="G3943" t="s">
        <v>25</v>
      </c>
      <c r="H3943" t="s">
        <v>25</v>
      </c>
      <c r="I3943"/>
    </row>
    <row r="3944" spans="1:9">
      <c r="A3944" t="s">
        <v>3671</v>
      </c>
      <c r="B3944" s="1" t="str">
        <f>"20912864"</f>
        <v>20912864</v>
      </c>
      <c r="C3944" t="s">
        <v>3902</v>
      </c>
      <c r="D3944" t="s">
        <v>3907</v>
      </c>
      <c r="E3944" s="2">
        <v>0.14</v>
      </c>
      <c r="F3944" t="s">
        <v>239</v>
      </c>
      <c r="G3944" t="s">
        <v>25</v>
      </c>
      <c r="H3944" t="s">
        <v>25</v>
      </c>
      <c r="I3944"/>
    </row>
    <row r="3945" spans="1:9">
      <c r="A3945" t="s">
        <v>3671</v>
      </c>
      <c r="B3945" s="1" t="str">
        <f>"20591786"</f>
        <v>20591786</v>
      </c>
      <c r="C3945" t="s">
        <v>3902</v>
      </c>
      <c r="D3945" t="s">
        <v>3908</v>
      </c>
      <c r="E3945" s="2">
        <v>0.135</v>
      </c>
      <c r="F3945" t="s">
        <v>239</v>
      </c>
      <c r="G3945" t="s">
        <v>25</v>
      </c>
      <c r="H3945" t="s">
        <v>25</v>
      </c>
      <c r="I3945"/>
    </row>
    <row r="3946" spans="1:9">
      <c r="A3946" t="s">
        <v>3671</v>
      </c>
      <c r="B3946" s="1" t="str">
        <f>"12020023"</f>
        <v>12020023</v>
      </c>
      <c r="C3946" t="s">
        <v>3902</v>
      </c>
      <c r="D3946" t="s">
        <v>3909</v>
      </c>
      <c r="E3946" s="2">
        <v>0.14</v>
      </c>
      <c r="F3946" t="s">
        <v>239</v>
      </c>
      <c r="G3946" t="s">
        <v>25</v>
      </c>
      <c r="H3946" t="s">
        <v>332</v>
      </c>
      <c r="I3946"/>
    </row>
    <row r="3947" spans="1:9">
      <c r="A3947" t="s">
        <v>3671</v>
      </c>
      <c r="B3947" s="1" t="str">
        <f>"12021094"</f>
        <v>12021094</v>
      </c>
      <c r="C3947" t="s">
        <v>3902</v>
      </c>
      <c r="D3947" t="s">
        <v>3910</v>
      </c>
      <c r="E3947" s="2">
        <v>0.143</v>
      </c>
      <c r="F3947" t="s">
        <v>239</v>
      </c>
      <c r="G3947" t="s">
        <v>2780</v>
      </c>
      <c r="H3947" t="s">
        <v>332</v>
      </c>
      <c r="I3947"/>
    </row>
    <row r="3948" spans="1:9">
      <c r="A3948" t="s">
        <v>3671</v>
      </c>
      <c r="B3948" s="1" t="str">
        <f>"12013468"</f>
        <v>12013468</v>
      </c>
      <c r="C3948" t="s">
        <v>3902</v>
      </c>
      <c r="D3948" t="s">
        <v>3911</v>
      </c>
      <c r="E3948" s="2"/>
      <c r="F3948" t="s">
        <v>239</v>
      </c>
      <c r="G3948" t="s">
        <v>25</v>
      </c>
      <c r="H3948" t="s">
        <v>25</v>
      </c>
      <c r="I3948"/>
    </row>
    <row r="3949" spans="1:9">
      <c r="A3949" t="s">
        <v>3671</v>
      </c>
      <c r="B3949" s="1" t="str">
        <f>"12013447"</f>
        <v>12013447</v>
      </c>
      <c r="C3949" t="s">
        <v>3902</v>
      </c>
      <c r="D3949" t="s">
        <v>3912</v>
      </c>
      <c r="E3949" s="2">
        <v>0.14</v>
      </c>
      <c r="F3949" t="s">
        <v>239</v>
      </c>
      <c r="G3949" t="s">
        <v>25</v>
      </c>
      <c r="H3949" t="s">
        <v>25</v>
      </c>
      <c r="I3949"/>
    </row>
    <row r="3950" spans="1:9">
      <c r="A3950" t="s">
        <v>3671</v>
      </c>
      <c r="B3950" s="1" t="str">
        <f>"12013119"</f>
        <v>12013119</v>
      </c>
      <c r="C3950" t="s">
        <v>3902</v>
      </c>
      <c r="D3950" t="s">
        <v>3913</v>
      </c>
      <c r="E3950" s="2"/>
      <c r="F3950" t="s">
        <v>239</v>
      </c>
      <c r="G3950" t="s">
        <v>25</v>
      </c>
      <c r="H3950" t="s">
        <v>332</v>
      </c>
      <c r="I3950"/>
    </row>
    <row r="3951" spans="1:9">
      <c r="A3951" t="s">
        <v>3671</v>
      </c>
      <c r="B3951" s="1" t="str">
        <f>"12013120"</f>
        <v>12013120</v>
      </c>
      <c r="C3951" t="s">
        <v>3902</v>
      </c>
      <c r="D3951" t="s">
        <v>3914</v>
      </c>
      <c r="E3951" s="2"/>
      <c r="F3951" t="s">
        <v>239</v>
      </c>
      <c r="G3951" t="s">
        <v>25</v>
      </c>
      <c r="H3951" t="s">
        <v>332</v>
      </c>
      <c r="I3951"/>
    </row>
    <row r="3952" spans="1:9">
      <c r="A3952" t="s">
        <v>3671</v>
      </c>
      <c r="B3952" s="1" t="str">
        <f>"12013538"</f>
        <v>12013538</v>
      </c>
      <c r="C3952" t="s">
        <v>3902</v>
      </c>
      <c r="D3952" t="s">
        <v>3915</v>
      </c>
      <c r="E3952" s="2"/>
      <c r="F3952" t="s">
        <v>239</v>
      </c>
      <c r="G3952" t="s">
        <v>25</v>
      </c>
      <c r="H3952" t="s">
        <v>25</v>
      </c>
      <c r="I3952"/>
    </row>
    <row r="3953" spans="1:9">
      <c r="A3953" t="s">
        <v>3671</v>
      </c>
      <c r="B3953" s="1" t="str">
        <f>"20080069"</f>
        <v>20080069</v>
      </c>
      <c r="C3953" t="s">
        <v>3902</v>
      </c>
      <c r="D3953" t="s">
        <v>3916</v>
      </c>
      <c r="E3953" s="2"/>
      <c r="F3953" t="s">
        <v>239</v>
      </c>
      <c r="G3953" t="s">
        <v>25</v>
      </c>
      <c r="H3953" t="s">
        <v>25</v>
      </c>
      <c r="I3953"/>
    </row>
    <row r="3954" spans="1:9">
      <c r="A3954" t="s">
        <v>3671</v>
      </c>
      <c r="B3954" s="1" t="str">
        <f>"20080068"</f>
        <v>20080068</v>
      </c>
      <c r="C3954" t="s">
        <v>3902</v>
      </c>
      <c r="D3954" t="s">
        <v>3917</v>
      </c>
      <c r="E3954" s="2">
        <v>0.135</v>
      </c>
      <c r="F3954" t="s">
        <v>239</v>
      </c>
      <c r="G3954" t="s">
        <v>25</v>
      </c>
      <c r="H3954" t="s">
        <v>25</v>
      </c>
      <c r="I3954"/>
    </row>
    <row r="3955" spans="1:9">
      <c r="A3955" t="s">
        <v>3671</v>
      </c>
      <c r="B3955" s="1" t="str">
        <f>"12860116"</f>
        <v>12860116</v>
      </c>
      <c r="C3955" t="s">
        <v>3501</v>
      </c>
      <c r="D3955" t="s">
        <v>3918</v>
      </c>
      <c r="E3955" s="2">
        <v>0.14</v>
      </c>
      <c r="F3955" t="s">
        <v>239</v>
      </c>
      <c r="G3955"/>
      <c r="H3955" t="s">
        <v>25</v>
      </c>
      <c r="I3955"/>
    </row>
    <row r="3956" spans="1:9">
      <c r="A3956" t="s">
        <v>3671</v>
      </c>
      <c r="B3956" s="1" t="str">
        <f>"12860113"</f>
        <v>12860113</v>
      </c>
      <c r="C3956" t="s">
        <v>2846</v>
      </c>
      <c r="D3956" t="s">
        <v>3919</v>
      </c>
      <c r="E3956" s="2">
        <v>0.125</v>
      </c>
      <c r="F3956" t="s">
        <v>239</v>
      </c>
      <c r="G3956"/>
      <c r="H3956" t="s">
        <v>332</v>
      </c>
      <c r="I3956"/>
    </row>
    <row r="3957" spans="1:9">
      <c r="A3957" t="s">
        <v>3671</v>
      </c>
      <c r="B3957" s="1" t="str">
        <f>"12860112"</f>
        <v>12860112</v>
      </c>
      <c r="C3957" t="s">
        <v>2846</v>
      </c>
      <c r="D3957" t="s">
        <v>3920</v>
      </c>
      <c r="E3957" s="2">
        <v>0.125</v>
      </c>
      <c r="F3957" t="s">
        <v>239</v>
      </c>
      <c r="G3957"/>
      <c r="H3957" t="s">
        <v>332</v>
      </c>
      <c r="I3957"/>
    </row>
    <row r="3958" spans="1:9">
      <c r="A3958" t="s">
        <v>3921</v>
      </c>
      <c r="B3958" s="1" t="str">
        <f>"12860107"</f>
        <v>12860107</v>
      </c>
      <c r="C3958" t="s">
        <v>3702</v>
      </c>
      <c r="D3958" t="s">
        <v>3922</v>
      </c>
      <c r="E3958" s="2">
        <v>0.13</v>
      </c>
      <c r="F3958" t="s">
        <v>239</v>
      </c>
      <c r="G3958"/>
      <c r="H3958" t="s">
        <v>25</v>
      </c>
      <c r="I3958"/>
    </row>
    <row r="3959" spans="1:9">
      <c r="A3959" t="s">
        <v>3921</v>
      </c>
      <c r="B3959" s="1" t="str">
        <f>"12013169"</f>
        <v>12013169</v>
      </c>
      <c r="C3959" t="s">
        <v>3923</v>
      </c>
      <c r="D3959" t="s">
        <v>3924</v>
      </c>
      <c r="E3959" s="2"/>
      <c r="F3959" t="s">
        <v>239</v>
      </c>
      <c r="G3959" t="s">
        <v>25</v>
      </c>
      <c r="H3959" t="s">
        <v>25</v>
      </c>
      <c r="I3959"/>
    </row>
    <row r="3960" spans="1:9">
      <c r="A3960" t="s">
        <v>3921</v>
      </c>
      <c r="B3960" s="1" t="str">
        <f>"20528584"</f>
        <v>20528584</v>
      </c>
      <c r="C3960" t="s">
        <v>3925</v>
      </c>
      <c r="D3960" t="s">
        <v>3926</v>
      </c>
      <c r="E3960" s="2"/>
      <c r="F3960" t="s">
        <v>12</v>
      </c>
      <c r="G3960" t="s">
        <v>25</v>
      </c>
      <c r="H3960" t="s">
        <v>25</v>
      </c>
      <c r="I3960"/>
    </row>
    <row r="3961" spans="1:9">
      <c r="A3961" t="s">
        <v>3921</v>
      </c>
      <c r="B3961" s="1" t="str">
        <f>"12860106"</f>
        <v>12860106</v>
      </c>
      <c r="C3961" t="s">
        <v>3925</v>
      </c>
      <c r="D3961" t="s">
        <v>3927</v>
      </c>
      <c r="E3961" s="2">
        <v>0.125</v>
      </c>
      <c r="F3961" t="s">
        <v>239</v>
      </c>
      <c r="G3961"/>
      <c r="H3961" t="s">
        <v>25</v>
      </c>
      <c r="I3961"/>
    </row>
    <row r="3962" spans="1:9">
      <c r="A3962" t="s">
        <v>3921</v>
      </c>
      <c r="B3962" s="1" t="str">
        <f>"12020041"</f>
        <v>12020041</v>
      </c>
      <c r="C3962" t="s">
        <v>3928</v>
      </c>
      <c r="D3962" t="s">
        <v>3929</v>
      </c>
      <c r="E3962" s="2">
        <v>0.125</v>
      </c>
      <c r="F3962" t="s">
        <v>3581</v>
      </c>
      <c r="G3962" t="s">
        <v>25</v>
      </c>
      <c r="H3962" t="s">
        <v>25</v>
      </c>
      <c r="I3962"/>
    </row>
    <row r="3963" spans="1:9">
      <c r="A3963" t="s">
        <v>3921</v>
      </c>
      <c r="B3963" s="1" t="str">
        <f>"12013106"</f>
        <v>12013106</v>
      </c>
      <c r="C3963" t="s">
        <v>3928</v>
      </c>
      <c r="D3963" t="s">
        <v>3930</v>
      </c>
      <c r="E3963" s="2"/>
      <c r="F3963" t="s">
        <v>239</v>
      </c>
      <c r="G3963" t="s">
        <v>25</v>
      </c>
      <c r="H3963" t="s">
        <v>25</v>
      </c>
      <c r="I3963"/>
    </row>
    <row r="3964" spans="1:9">
      <c r="A3964" t="s">
        <v>3921</v>
      </c>
      <c r="B3964" s="1" t="str">
        <f>"12016582"</f>
        <v>12016582</v>
      </c>
      <c r="C3964" t="s">
        <v>3931</v>
      </c>
      <c r="D3964" t="s">
        <v>3932</v>
      </c>
      <c r="E3964" s="2"/>
      <c r="F3964" t="s">
        <v>239</v>
      </c>
      <c r="G3964" t="s">
        <v>25</v>
      </c>
      <c r="H3964" t="s">
        <v>25</v>
      </c>
      <c r="I3964"/>
    </row>
    <row r="3965" spans="1:9">
      <c r="A3965" t="s">
        <v>3921</v>
      </c>
      <c r="B3965" s="1" t="str">
        <f>"12013947"</f>
        <v>12013947</v>
      </c>
      <c r="C3965" t="s">
        <v>3931</v>
      </c>
      <c r="D3965" t="s">
        <v>3933</v>
      </c>
      <c r="E3965" s="2"/>
      <c r="F3965" t="s">
        <v>239</v>
      </c>
      <c r="G3965" t="s">
        <v>25</v>
      </c>
      <c r="H3965" t="s">
        <v>332</v>
      </c>
      <c r="I3965"/>
    </row>
    <row r="3966" spans="1:9">
      <c r="A3966" t="s">
        <v>3921</v>
      </c>
      <c r="B3966" s="1" t="str">
        <f>"12016593"</f>
        <v>12016593</v>
      </c>
      <c r="C3966" t="s">
        <v>3931</v>
      </c>
      <c r="D3966" t="s">
        <v>3934</v>
      </c>
      <c r="E3966" s="2"/>
      <c r="F3966" t="s">
        <v>239</v>
      </c>
      <c r="G3966" t="s">
        <v>25</v>
      </c>
      <c r="H3966" t="s">
        <v>25</v>
      </c>
      <c r="I3966"/>
    </row>
    <row r="3967" spans="1:9">
      <c r="A3967" t="s">
        <v>3921</v>
      </c>
      <c r="B3967" s="1" t="str">
        <f>"12202074"</f>
        <v>12202074</v>
      </c>
      <c r="C3967" t="s">
        <v>3931</v>
      </c>
      <c r="D3967" t="s">
        <v>3935</v>
      </c>
      <c r="E3967" s="2">
        <v>0.125</v>
      </c>
      <c r="F3967" t="s">
        <v>239</v>
      </c>
      <c r="G3967" t="s">
        <v>2780</v>
      </c>
      <c r="H3967" t="s">
        <v>2780</v>
      </c>
      <c r="I3967"/>
    </row>
    <row r="3968" spans="1:9">
      <c r="A3968" t="s">
        <v>3921</v>
      </c>
      <c r="B3968" s="1" t="str">
        <f>"12202014"</f>
        <v>12202014</v>
      </c>
      <c r="C3968" t="s">
        <v>3931</v>
      </c>
      <c r="D3968" t="s">
        <v>3936</v>
      </c>
      <c r="E3968" s="2">
        <v>0.125</v>
      </c>
      <c r="F3968" t="s">
        <v>239</v>
      </c>
      <c r="G3968" t="s">
        <v>25</v>
      </c>
      <c r="H3968" t="s">
        <v>25</v>
      </c>
      <c r="I3968"/>
    </row>
    <row r="3969" spans="1:9">
      <c r="A3969" t="s">
        <v>3921</v>
      </c>
      <c r="B3969" s="1" t="str">
        <f>"12191321"</f>
        <v>12191321</v>
      </c>
      <c r="C3969" t="s">
        <v>3931</v>
      </c>
      <c r="D3969" t="s">
        <v>3937</v>
      </c>
      <c r="E3969" s="2">
        <v>0.13</v>
      </c>
      <c r="F3969" t="s">
        <v>239</v>
      </c>
      <c r="G3969" t="s">
        <v>25</v>
      </c>
      <c r="H3969" t="s">
        <v>25</v>
      </c>
      <c r="I3969"/>
    </row>
    <row r="3970" spans="1:9">
      <c r="A3970" t="s">
        <v>3921</v>
      </c>
      <c r="B3970" s="1" t="str">
        <f>"12021055"</f>
        <v>12021055</v>
      </c>
      <c r="C3970" t="s">
        <v>3931</v>
      </c>
      <c r="D3970" t="s">
        <v>3938</v>
      </c>
      <c r="E3970" s="2">
        <v>0.125</v>
      </c>
      <c r="F3970" t="s">
        <v>239</v>
      </c>
      <c r="G3970" t="s">
        <v>2780</v>
      </c>
      <c r="H3970" t="s">
        <v>2780</v>
      </c>
      <c r="I3970"/>
    </row>
    <row r="3971" spans="1:9">
      <c r="A3971" t="s">
        <v>3921</v>
      </c>
      <c r="B3971" s="1" t="str">
        <f>"12013922"</f>
        <v>12013922</v>
      </c>
      <c r="C3971" t="s">
        <v>3931</v>
      </c>
      <c r="D3971" t="s">
        <v>3939</v>
      </c>
      <c r="E3971" s="2"/>
      <c r="F3971" t="s">
        <v>239</v>
      </c>
      <c r="G3971" t="s">
        <v>29</v>
      </c>
      <c r="H3971" t="s">
        <v>29</v>
      </c>
      <c r="I3971"/>
    </row>
    <row r="3972" spans="1:9">
      <c r="A3972" t="s">
        <v>3921</v>
      </c>
      <c r="B3972" s="1" t="str">
        <f>"12013938"</f>
        <v>12013938</v>
      </c>
      <c r="C3972" t="s">
        <v>3931</v>
      </c>
      <c r="D3972" t="s">
        <v>3940</v>
      </c>
      <c r="E3972" s="2"/>
      <c r="F3972" t="s">
        <v>239</v>
      </c>
      <c r="G3972" t="s">
        <v>29</v>
      </c>
      <c r="H3972" t="s">
        <v>25</v>
      </c>
      <c r="I3972"/>
    </row>
    <row r="3973" spans="1:9">
      <c r="A3973" t="s">
        <v>3921</v>
      </c>
      <c r="B3973" s="1" t="str">
        <f>"12013068"</f>
        <v>12013068</v>
      </c>
      <c r="C3973" t="s">
        <v>3931</v>
      </c>
      <c r="D3973" t="s">
        <v>3941</v>
      </c>
      <c r="E3973" s="2"/>
      <c r="F3973" t="s">
        <v>239</v>
      </c>
      <c r="G3973" t="s">
        <v>25</v>
      </c>
      <c r="H3973" t="s">
        <v>25</v>
      </c>
      <c r="I3973"/>
    </row>
    <row r="3974" spans="1:9">
      <c r="A3974" t="s">
        <v>3921</v>
      </c>
      <c r="B3974" s="1" t="str">
        <f>"20638017"</f>
        <v>20638017</v>
      </c>
      <c r="C3974" t="s">
        <v>3931</v>
      </c>
      <c r="D3974" t="s">
        <v>3942</v>
      </c>
      <c r="E3974" s="2"/>
      <c r="F3974" t="s">
        <v>239</v>
      </c>
      <c r="G3974" t="s">
        <v>25</v>
      </c>
      <c r="H3974" t="s">
        <v>25</v>
      </c>
      <c r="I3974"/>
    </row>
    <row r="3975" spans="1:9">
      <c r="A3975" t="s">
        <v>3921</v>
      </c>
      <c r="B3975" s="1" t="str">
        <f>"12202030"</f>
        <v>12202030</v>
      </c>
      <c r="C3975" t="s">
        <v>3931</v>
      </c>
      <c r="D3975" t="s">
        <v>3943</v>
      </c>
      <c r="E3975" s="2">
        <v>0.13</v>
      </c>
      <c r="F3975" t="s">
        <v>239</v>
      </c>
      <c r="G3975" t="s">
        <v>25</v>
      </c>
      <c r="H3975" t="s">
        <v>332</v>
      </c>
      <c r="I3975"/>
    </row>
    <row r="3976" spans="1:9">
      <c r="A3976" t="s">
        <v>3921</v>
      </c>
      <c r="B3976" s="1" t="str">
        <f>"20118976"</f>
        <v>20118976</v>
      </c>
      <c r="C3976" t="s">
        <v>3931</v>
      </c>
      <c r="D3976" t="s">
        <v>3944</v>
      </c>
      <c r="E3976" s="2"/>
      <c r="F3976" t="s">
        <v>12</v>
      </c>
      <c r="G3976" t="s">
        <v>25</v>
      </c>
      <c r="H3976" t="s">
        <v>25</v>
      </c>
      <c r="I3976"/>
    </row>
    <row r="3977" spans="1:9">
      <c r="A3977" t="s">
        <v>3921</v>
      </c>
      <c r="B3977" s="1" t="str">
        <f>"12192509"</f>
        <v>12192509</v>
      </c>
      <c r="C3977" t="s">
        <v>3486</v>
      </c>
      <c r="D3977" t="s">
        <v>3945</v>
      </c>
      <c r="E3977" s="2">
        <v>0.13</v>
      </c>
      <c r="F3977" t="s">
        <v>239</v>
      </c>
      <c r="G3977" t="s">
        <v>25</v>
      </c>
      <c r="H3977" t="s">
        <v>332</v>
      </c>
      <c r="I3977"/>
    </row>
    <row r="3978" spans="1:9">
      <c r="A3978" t="s">
        <v>3921</v>
      </c>
      <c r="B3978" s="1" t="str">
        <f>"12013081"</f>
        <v>12013081</v>
      </c>
      <c r="C3978" t="s">
        <v>3486</v>
      </c>
      <c r="D3978" t="s">
        <v>3946</v>
      </c>
      <c r="E3978" s="2"/>
      <c r="F3978" t="s">
        <v>239</v>
      </c>
      <c r="G3978" t="s">
        <v>25</v>
      </c>
      <c r="H3978" t="s">
        <v>25</v>
      </c>
      <c r="I3978"/>
    </row>
    <row r="3979" spans="1:9">
      <c r="A3979" t="s">
        <v>3921</v>
      </c>
      <c r="B3979" s="1" t="str">
        <f>"12013179"</f>
        <v>12013179</v>
      </c>
      <c r="C3979" t="s">
        <v>3486</v>
      </c>
      <c r="D3979" t="s">
        <v>3947</v>
      </c>
      <c r="E3979" s="2">
        <v>0.12</v>
      </c>
      <c r="F3979" t="s">
        <v>239</v>
      </c>
      <c r="G3979"/>
      <c r="H3979" t="s">
        <v>360</v>
      </c>
      <c r="I3979"/>
    </row>
    <row r="3980" spans="1:9">
      <c r="A3980" t="s">
        <v>3921</v>
      </c>
      <c r="B3980" s="1" t="str">
        <f>"12202037"</f>
        <v>12202037</v>
      </c>
      <c r="C3980" t="s">
        <v>3486</v>
      </c>
      <c r="D3980" t="s">
        <v>3948</v>
      </c>
      <c r="E3980" s="2">
        <v>0.12</v>
      </c>
      <c r="F3980" t="s">
        <v>239</v>
      </c>
      <c r="G3980" t="s">
        <v>25</v>
      </c>
      <c r="H3980" t="s">
        <v>332</v>
      </c>
      <c r="I3980"/>
    </row>
    <row r="3981" spans="1:9">
      <c r="A3981" t="s">
        <v>3921</v>
      </c>
      <c r="B3981" s="1" t="str">
        <f>"12013089"</f>
        <v>12013089</v>
      </c>
      <c r="C3981" t="s">
        <v>3486</v>
      </c>
      <c r="D3981" t="s">
        <v>3949</v>
      </c>
      <c r="E3981" s="2"/>
      <c r="F3981" t="s">
        <v>239</v>
      </c>
      <c r="G3981" t="s">
        <v>25</v>
      </c>
      <c r="H3981" t="s">
        <v>25</v>
      </c>
      <c r="I3981"/>
    </row>
    <row r="3982" spans="1:9">
      <c r="A3982" t="s">
        <v>3921</v>
      </c>
      <c r="B3982" s="1" t="str">
        <f>"12504313"</f>
        <v>12504313</v>
      </c>
      <c r="C3982" t="s">
        <v>3486</v>
      </c>
      <c r="D3982" t="s">
        <v>3950</v>
      </c>
      <c r="E3982" s="2">
        <v>0.11</v>
      </c>
      <c r="F3982" t="s">
        <v>239</v>
      </c>
      <c r="G3982" t="s">
        <v>25</v>
      </c>
      <c r="H3982" t="s">
        <v>25</v>
      </c>
      <c r="I3982"/>
    </row>
    <row r="3983" spans="1:9">
      <c r="A3983" t="s">
        <v>3482</v>
      </c>
      <c r="B3983" s="1" t="str">
        <f>"12013192"</f>
        <v>12013192</v>
      </c>
      <c r="C3983" t="s">
        <v>3486</v>
      </c>
      <c r="D3983" t="s">
        <v>3487</v>
      </c>
      <c r="E3983" s="2">
        <v>0.125</v>
      </c>
      <c r="F3983" t="s">
        <v>239</v>
      </c>
      <c r="G3983"/>
      <c r="H3983" t="s">
        <v>2780</v>
      </c>
      <c r="I3983"/>
    </row>
    <row r="3984" spans="1:9">
      <c r="A3984" t="s">
        <v>3921</v>
      </c>
      <c r="B3984" s="1" t="str">
        <f>"20033651"</f>
        <v>20033651</v>
      </c>
      <c r="C3984" t="s">
        <v>3951</v>
      </c>
      <c r="D3984" t="s">
        <v>3952</v>
      </c>
      <c r="E3984" s="2"/>
      <c r="F3984" t="s">
        <v>12</v>
      </c>
      <c r="G3984" t="s">
        <v>25</v>
      </c>
      <c r="H3984" t="s">
        <v>25</v>
      </c>
      <c r="I3984"/>
    </row>
    <row r="3985" spans="1:9">
      <c r="A3985" t="s">
        <v>3921</v>
      </c>
      <c r="B3985" s="1" t="str">
        <f>"12013431"</f>
        <v>12013431</v>
      </c>
      <c r="C3985" t="s">
        <v>3953</v>
      </c>
      <c r="D3985" t="s">
        <v>3954</v>
      </c>
      <c r="E3985" s="2">
        <v>0.11</v>
      </c>
      <c r="F3985" t="s">
        <v>12</v>
      </c>
      <c r="G3985" t="s">
        <v>25</v>
      </c>
      <c r="H3985" t="s">
        <v>25</v>
      </c>
      <c r="I3985"/>
    </row>
    <row r="3986" spans="1:9">
      <c r="A3986" t="s">
        <v>3921</v>
      </c>
      <c r="B3986" s="1" t="str">
        <f>"20045968"</f>
        <v>20045968</v>
      </c>
      <c r="C3986" t="s">
        <v>3953</v>
      </c>
      <c r="D3986" t="s">
        <v>3955</v>
      </c>
      <c r="E3986" s="2"/>
      <c r="F3986" t="s">
        <v>12</v>
      </c>
      <c r="G3986" t="s">
        <v>25</v>
      </c>
      <c r="H3986" t="s">
        <v>25</v>
      </c>
      <c r="I3986"/>
    </row>
    <row r="3987" spans="1:9">
      <c r="A3987" t="s">
        <v>3921</v>
      </c>
      <c r="B3987" s="1" t="str">
        <f>"20026981"</f>
        <v>20026981</v>
      </c>
      <c r="C3987" t="s">
        <v>3953</v>
      </c>
      <c r="D3987" t="s">
        <v>3956</v>
      </c>
      <c r="E3987" s="2"/>
      <c r="F3987" t="s">
        <v>12</v>
      </c>
      <c r="G3987" t="s">
        <v>25</v>
      </c>
      <c r="H3987" t="s">
        <v>25</v>
      </c>
      <c r="I3987"/>
    </row>
    <row r="3988" spans="1:9">
      <c r="A3988" t="s">
        <v>3921</v>
      </c>
      <c r="B3988" s="1" t="str">
        <f>"20165178"</f>
        <v>20165178</v>
      </c>
      <c r="C3988" t="s">
        <v>3957</v>
      </c>
      <c r="D3988" t="s">
        <v>3958</v>
      </c>
      <c r="E3988" s="2"/>
      <c r="F3988" t="s">
        <v>239</v>
      </c>
      <c r="G3988" t="s">
        <v>25</v>
      </c>
      <c r="H3988" t="s">
        <v>25</v>
      </c>
      <c r="I3988"/>
    </row>
    <row r="3989" spans="1:9">
      <c r="A3989" t="s">
        <v>3921</v>
      </c>
      <c r="B3989" s="1" t="str">
        <f>"24325503"</f>
        <v>24325503</v>
      </c>
      <c r="C3989" t="s">
        <v>3957</v>
      </c>
      <c r="D3989" t="s">
        <v>3959</v>
      </c>
      <c r="E3989" s="2"/>
      <c r="F3989" t="s">
        <v>239</v>
      </c>
      <c r="G3989" t="s">
        <v>25</v>
      </c>
      <c r="H3989" t="s">
        <v>25</v>
      </c>
      <c r="I3989"/>
    </row>
    <row r="3990" spans="1:9">
      <c r="A3990" t="s">
        <v>3921</v>
      </c>
      <c r="B3990" s="1" t="str">
        <f>"12013564"</f>
        <v>12013564</v>
      </c>
      <c r="C3990" t="s">
        <v>3960</v>
      </c>
      <c r="D3990" t="s">
        <v>3961</v>
      </c>
      <c r="E3990" s="2">
        <v>0.125</v>
      </c>
      <c r="F3990" t="s">
        <v>239</v>
      </c>
      <c r="G3990" t="s">
        <v>25</v>
      </c>
      <c r="H3990" t="s">
        <v>25</v>
      </c>
      <c r="I3990"/>
    </row>
    <row r="3991" spans="1:9">
      <c r="A3991" t="s">
        <v>3921</v>
      </c>
      <c r="B3991" s="1" t="str">
        <f>"12013593"</f>
        <v>12013593</v>
      </c>
      <c r="C3991" t="s">
        <v>3960</v>
      </c>
      <c r="D3991" t="s">
        <v>3962</v>
      </c>
      <c r="E3991" s="2">
        <v>0.13</v>
      </c>
      <c r="F3991" t="s">
        <v>239</v>
      </c>
      <c r="G3991"/>
      <c r="H3991" t="s">
        <v>2780</v>
      </c>
      <c r="I3991"/>
    </row>
    <row r="3992" spans="1:9">
      <c r="A3992" t="s">
        <v>3921</v>
      </c>
      <c r="B3992" s="1" t="str">
        <f>"12013594"</f>
        <v>12013594</v>
      </c>
      <c r="C3992" t="s">
        <v>3960</v>
      </c>
      <c r="D3992" t="s">
        <v>3963</v>
      </c>
      <c r="E3992" s="2">
        <v>0.13</v>
      </c>
      <c r="F3992" t="s">
        <v>239</v>
      </c>
      <c r="G3992"/>
      <c r="H3992" t="s">
        <v>2780</v>
      </c>
      <c r="I3992"/>
    </row>
    <row r="3993" spans="1:9">
      <c r="A3993" t="s">
        <v>3964</v>
      </c>
      <c r="B3993" s="1" t="str">
        <f>"25546464"</f>
        <v>25546464</v>
      </c>
      <c r="C3993" t="s">
        <v>3702</v>
      </c>
      <c r="D3993" t="s">
        <v>3965</v>
      </c>
      <c r="E3993" s="2"/>
      <c r="F3993" t="s">
        <v>239</v>
      </c>
      <c r="G3993" t="s">
        <v>25</v>
      </c>
      <c r="H3993" t="s">
        <v>25</v>
      </c>
      <c r="I3993"/>
    </row>
    <row r="3994" spans="1:9">
      <c r="A3994" t="s">
        <v>3964</v>
      </c>
      <c r="B3994" s="1" t="str">
        <f>"12860119"</f>
        <v>12860119</v>
      </c>
      <c r="C3994" t="s">
        <v>3729</v>
      </c>
      <c r="D3994" t="s">
        <v>3966</v>
      </c>
      <c r="E3994" s="2"/>
      <c r="F3994" t="s">
        <v>239</v>
      </c>
      <c r="G3994"/>
      <c r="H3994" t="s">
        <v>25</v>
      </c>
      <c r="I3994"/>
    </row>
    <row r="3995" spans="1:9">
      <c r="A3995" t="s">
        <v>3964</v>
      </c>
      <c r="B3995" s="1" t="str">
        <f>"25546466"</f>
        <v>25546466</v>
      </c>
      <c r="C3995" t="s">
        <v>3925</v>
      </c>
      <c r="D3995" t="s">
        <v>3967</v>
      </c>
      <c r="E3995" s="2"/>
      <c r="F3995" t="s">
        <v>239</v>
      </c>
      <c r="G3995" t="s">
        <v>25</v>
      </c>
      <c r="H3995" t="s">
        <v>25</v>
      </c>
      <c r="I3995"/>
    </row>
    <row r="3996" spans="1:9">
      <c r="A3996" t="s">
        <v>3964</v>
      </c>
      <c r="B3996" s="1" t="str">
        <f>"12860120"</f>
        <v>12860120</v>
      </c>
      <c r="C3996" t="s">
        <v>3928</v>
      </c>
      <c r="D3996" t="s">
        <v>3968</v>
      </c>
      <c r="E3996" s="2"/>
      <c r="F3996" t="s">
        <v>239</v>
      </c>
      <c r="G3996"/>
      <c r="H3996" t="s">
        <v>25</v>
      </c>
      <c r="I3996"/>
    </row>
    <row r="3997" spans="1:9">
      <c r="A3997" t="s">
        <v>3964</v>
      </c>
      <c r="B3997" s="1" t="str">
        <f>"25546465"</f>
        <v>25546465</v>
      </c>
      <c r="C3997" t="s">
        <v>3489</v>
      </c>
      <c r="D3997" t="s">
        <v>3969</v>
      </c>
      <c r="E3997" s="2"/>
      <c r="F3997" t="s">
        <v>239</v>
      </c>
      <c r="G3997" t="s">
        <v>25</v>
      </c>
      <c r="H3997" t="s">
        <v>25</v>
      </c>
      <c r="I3997"/>
    </row>
    <row r="3998" spans="1:9">
      <c r="A3998" t="s">
        <v>3964</v>
      </c>
      <c r="B3998" s="1" t="str">
        <f>"12860118"</f>
        <v>12860118</v>
      </c>
      <c r="C3998" t="s">
        <v>3572</v>
      </c>
      <c r="D3998" t="s">
        <v>3970</v>
      </c>
      <c r="E3998" s="2"/>
      <c r="F3998" t="s">
        <v>239</v>
      </c>
      <c r="G3998"/>
      <c r="H3998" t="s">
        <v>25</v>
      </c>
      <c r="I3998"/>
    </row>
    <row r="3999" spans="1:9">
      <c r="A3999" t="s">
        <v>3971</v>
      </c>
      <c r="B3999" s="1" t="str">
        <f>"20500474"</f>
        <v>20500474</v>
      </c>
      <c r="C3999" t="s">
        <v>3972</v>
      </c>
      <c r="D3999" t="s">
        <v>3973</v>
      </c>
      <c r="E3999" s="2"/>
      <c r="F3999" t="s">
        <v>12</v>
      </c>
      <c r="G3999" t="s">
        <v>25</v>
      </c>
      <c r="H3999" t="s">
        <v>25</v>
      </c>
      <c r="I3999"/>
    </row>
    <row r="4000" spans="1:9">
      <c r="A4000" t="s">
        <v>3971</v>
      </c>
      <c r="B4000" s="1" t="str">
        <f>"20039226"</f>
        <v>20039226</v>
      </c>
      <c r="C4000" t="s">
        <v>3972</v>
      </c>
      <c r="D4000" t="s">
        <v>3974</v>
      </c>
      <c r="E4000" s="2"/>
      <c r="F4000" t="s">
        <v>239</v>
      </c>
      <c r="G4000" t="s">
        <v>25</v>
      </c>
      <c r="H4000" t="s">
        <v>25</v>
      </c>
      <c r="I4000"/>
    </row>
    <row r="4001" spans="1:9">
      <c r="A4001" t="s">
        <v>3971</v>
      </c>
      <c r="B4001" s="1" t="str">
        <f>"20039233"</f>
        <v>20039233</v>
      </c>
      <c r="C4001" t="s">
        <v>3972</v>
      </c>
      <c r="D4001" t="s">
        <v>3975</v>
      </c>
      <c r="E4001" s="2"/>
      <c r="F4001" t="s">
        <v>239</v>
      </c>
      <c r="G4001" t="s">
        <v>25</v>
      </c>
      <c r="H4001" t="s">
        <v>25</v>
      </c>
      <c r="I4001"/>
    </row>
    <row r="4002" spans="1:9">
      <c r="A4002" t="s">
        <v>3971</v>
      </c>
      <c r="B4002" s="1" t="str">
        <f>"20501329"</f>
        <v>20501329</v>
      </c>
      <c r="C4002" t="s">
        <v>3702</v>
      </c>
      <c r="D4002" t="s">
        <v>3976</v>
      </c>
      <c r="E4002" s="2"/>
      <c r="F4002" t="s">
        <v>12</v>
      </c>
      <c r="G4002" t="s">
        <v>25</v>
      </c>
      <c r="H4002" t="s">
        <v>25</v>
      </c>
      <c r="I4002"/>
    </row>
    <row r="4003" spans="1:9">
      <c r="A4003" t="s">
        <v>3971</v>
      </c>
      <c r="B4003" s="1" t="str">
        <f>"20501327"</f>
        <v>20501327</v>
      </c>
      <c r="C4003" t="s">
        <v>3702</v>
      </c>
      <c r="D4003" t="s">
        <v>3977</v>
      </c>
      <c r="E4003" s="2"/>
      <c r="F4003" t="s">
        <v>12</v>
      </c>
      <c r="G4003" t="s">
        <v>25</v>
      </c>
      <c r="H4003" t="s">
        <v>25</v>
      </c>
      <c r="I4003"/>
    </row>
    <row r="4004" spans="1:9">
      <c r="A4004" t="s">
        <v>3971</v>
      </c>
      <c r="B4004" s="1" t="str">
        <f>"20020491"</f>
        <v>20020491</v>
      </c>
      <c r="C4004" t="s">
        <v>3814</v>
      </c>
      <c r="D4004" t="s">
        <v>3978</v>
      </c>
      <c r="E4004" s="2"/>
      <c r="F4004" t="s">
        <v>239</v>
      </c>
      <c r="G4004" t="s">
        <v>25</v>
      </c>
      <c r="H4004" t="s">
        <v>25</v>
      </c>
      <c r="I4004"/>
    </row>
    <row r="4005" spans="1:9">
      <c r="A4005" t="s">
        <v>3971</v>
      </c>
      <c r="B4005" s="1" t="str">
        <f>"20089001"</f>
        <v>20089001</v>
      </c>
      <c r="C4005" t="s">
        <v>3979</v>
      </c>
      <c r="D4005" t="s">
        <v>3980</v>
      </c>
      <c r="E4005" s="2">
        <v>0.19</v>
      </c>
      <c r="F4005" t="s">
        <v>239</v>
      </c>
      <c r="G4005" t="s">
        <v>25</v>
      </c>
      <c r="H4005" t="s">
        <v>25</v>
      </c>
      <c r="I4005"/>
    </row>
    <row r="4006" spans="1:9">
      <c r="A4006" t="s">
        <v>3971</v>
      </c>
      <c r="B4006" s="1" t="str">
        <f>"20866068"</f>
        <v>20866068</v>
      </c>
      <c r="C4006" t="s">
        <v>3582</v>
      </c>
      <c r="D4006" t="s">
        <v>3981</v>
      </c>
      <c r="E4006" s="2"/>
      <c r="F4006" t="s">
        <v>2737</v>
      </c>
      <c r="G4006" t="s">
        <v>25</v>
      </c>
      <c r="H4006" t="s">
        <v>25</v>
      </c>
      <c r="I4006"/>
    </row>
    <row r="4007" spans="1:9">
      <c r="A4007" t="s">
        <v>3971</v>
      </c>
      <c r="B4007" s="1" t="str">
        <f>"20155957"</f>
        <v>20155957</v>
      </c>
      <c r="C4007" t="s">
        <v>3582</v>
      </c>
      <c r="D4007" t="s">
        <v>3982</v>
      </c>
      <c r="E4007" s="2"/>
      <c r="F4007" t="s">
        <v>2737</v>
      </c>
      <c r="G4007" t="s">
        <v>25</v>
      </c>
      <c r="H4007" t="s">
        <v>25</v>
      </c>
      <c r="I4007"/>
    </row>
    <row r="4008" spans="1:9">
      <c r="A4008" t="s">
        <v>3971</v>
      </c>
      <c r="B4008" s="1" t="str">
        <f>"20034320"</f>
        <v>20034320</v>
      </c>
      <c r="C4008" t="s">
        <v>3615</v>
      </c>
      <c r="D4008" t="s">
        <v>3983</v>
      </c>
      <c r="E4008" s="2"/>
      <c r="F4008" t="s">
        <v>239</v>
      </c>
      <c r="G4008" t="s">
        <v>25</v>
      </c>
      <c r="H4008" t="s">
        <v>25</v>
      </c>
      <c r="I4008"/>
    </row>
    <row r="4009" spans="1:9">
      <c r="A4009" t="s">
        <v>3984</v>
      </c>
      <c r="B4009" s="1" t="str">
        <f>"20837722"</f>
        <v>20837722</v>
      </c>
      <c r="C4009" t="s">
        <v>2481</v>
      </c>
      <c r="D4009" t="s">
        <v>3985</v>
      </c>
      <c r="E4009" s="2"/>
      <c r="F4009" t="s">
        <v>3986</v>
      </c>
      <c r="G4009" t="s">
        <v>82</v>
      </c>
      <c r="H4009" t="s">
        <v>82</v>
      </c>
      <c r="I4009"/>
    </row>
    <row r="4010" spans="1:9">
      <c r="A4010" t="s">
        <v>3984</v>
      </c>
      <c r="B4010" s="1" t="str">
        <f>"20253806"</f>
        <v>20253806</v>
      </c>
      <c r="C4010" t="s">
        <v>3987</v>
      </c>
      <c r="D4010" t="s">
        <v>3988</v>
      </c>
      <c r="E4010" s="2"/>
      <c r="F4010" t="s">
        <v>3989</v>
      </c>
      <c r="G4010" t="s">
        <v>3990</v>
      </c>
      <c r="H4010" t="s">
        <v>3990</v>
      </c>
      <c r="I4010"/>
    </row>
    <row r="4011" spans="1:9">
      <c r="A4011" t="s">
        <v>3984</v>
      </c>
      <c r="B4011" s="1" t="str">
        <f>"20085742"</f>
        <v>20085742</v>
      </c>
      <c r="C4011" t="s">
        <v>3987</v>
      </c>
      <c r="D4011" t="s">
        <v>3991</v>
      </c>
      <c r="E4011" s="2"/>
      <c r="F4011" t="s">
        <v>3992</v>
      </c>
      <c r="G4011" t="s">
        <v>3990</v>
      </c>
      <c r="H4011" t="s">
        <v>3990</v>
      </c>
      <c r="I4011"/>
    </row>
    <row r="4012" spans="1:9">
      <c r="A4012" t="s">
        <v>3993</v>
      </c>
      <c r="B4012" s="1" t="str">
        <f>"20088866"</f>
        <v>20088866</v>
      </c>
      <c r="C4012" t="s">
        <v>691</v>
      </c>
      <c r="D4012" t="s">
        <v>3994</v>
      </c>
      <c r="E4012" s="2"/>
      <c r="F4012" t="s">
        <v>129</v>
      </c>
      <c r="G4012" t="s">
        <v>25</v>
      </c>
      <c r="H4012" t="s">
        <v>25</v>
      </c>
      <c r="I4012"/>
    </row>
    <row r="4013" spans="1:9">
      <c r="A4013" t="s">
        <v>3993</v>
      </c>
      <c r="B4013" s="1" t="str">
        <f>"20087616"</f>
        <v>20087616</v>
      </c>
      <c r="C4013" t="s">
        <v>691</v>
      </c>
      <c r="D4013" t="s">
        <v>3995</v>
      </c>
      <c r="E4013" s="2"/>
      <c r="F4013" t="s">
        <v>129</v>
      </c>
      <c r="G4013" t="s">
        <v>25</v>
      </c>
      <c r="H4013" t="s">
        <v>25</v>
      </c>
      <c r="I4013"/>
    </row>
    <row r="4014" spans="1:9">
      <c r="A4014" t="s">
        <v>3993</v>
      </c>
      <c r="B4014" s="1" t="str">
        <f>"20087593"</f>
        <v>20087593</v>
      </c>
      <c r="C4014" t="s">
        <v>691</v>
      </c>
      <c r="D4014" t="s">
        <v>3996</v>
      </c>
      <c r="E4014" s="2"/>
      <c r="F4014" t="s">
        <v>129</v>
      </c>
      <c r="G4014" t="s">
        <v>25</v>
      </c>
      <c r="H4014" t="s">
        <v>25</v>
      </c>
      <c r="I4014"/>
    </row>
    <row r="4015" spans="1:9">
      <c r="A4015" t="s">
        <v>3993</v>
      </c>
      <c r="B4015" s="1" t="str">
        <f>"20018276"</f>
        <v>20018276</v>
      </c>
      <c r="C4015" t="s">
        <v>2481</v>
      </c>
      <c r="D4015" t="s">
        <v>3997</v>
      </c>
      <c r="E4015" s="2"/>
      <c r="F4015" t="s">
        <v>27</v>
      </c>
      <c r="G4015" t="s">
        <v>370</v>
      </c>
      <c r="H4015" t="s">
        <v>370</v>
      </c>
      <c r="I4015"/>
    </row>
    <row r="4016" spans="1:9">
      <c r="A4016" t="s">
        <v>3993</v>
      </c>
      <c r="B4016" s="1" t="str">
        <f>"20016474"</f>
        <v>20016474</v>
      </c>
      <c r="C4016" t="s">
        <v>2481</v>
      </c>
      <c r="D4016" t="s">
        <v>3998</v>
      </c>
      <c r="E4016" s="2"/>
      <c r="F4016" t="s">
        <v>66</v>
      </c>
      <c r="G4016" t="s">
        <v>370</v>
      </c>
      <c r="H4016" t="s">
        <v>370</v>
      </c>
      <c r="I4016"/>
    </row>
    <row r="4017" spans="1:9">
      <c r="A4017" t="s">
        <v>3993</v>
      </c>
      <c r="B4017" s="1" t="str">
        <f>"20837723"</f>
        <v>20837723</v>
      </c>
      <c r="C4017" t="s">
        <v>2481</v>
      </c>
      <c r="D4017" t="s">
        <v>3999</v>
      </c>
      <c r="E4017" s="2"/>
      <c r="F4017" t="s">
        <v>380</v>
      </c>
      <c r="G4017" t="s">
        <v>4000</v>
      </c>
      <c r="H4017" t="s">
        <v>4000</v>
      </c>
      <c r="I4017"/>
    </row>
    <row r="4018" spans="1:9">
      <c r="A4018" t="s">
        <v>3993</v>
      </c>
      <c r="B4018" s="1" t="str">
        <f>"20837717"</f>
        <v>20837717</v>
      </c>
      <c r="C4018" t="s">
        <v>2481</v>
      </c>
      <c r="D4018" t="s">
        <v>4001</v>
      </c>
      <c r="E4018" s="2"/>
      <c r="F4018" t="s">
        <v>1461</v>
      </c>
      <c r="G4018" t="s">
        <v>25</v>
      </c>
      <c r="H4018" t="s">
        <v>25</v>
      </c>
      <c r="I4018"/>
    </row>
    <row r="4019" spans="1:9">
      <c r="A4019" t="s">
        <v>3993</v>
      </c>
      <c r="B4019" s="1" t="str">
        <f>"20081386"</f>
        <v>20081386</v>
      </c>
      <c r="C4019" t="s">
        <v>2481</v>
      </c>
      <c r="D4019" t="s">
        <v>4002</v>
      </c>
      <c r="E4019" s="2"/>
      <c r="F4019" t="s">
        <v>206</v>
      </c>
      <c r="G4019" t="s">
        <v>25</v>
      </c>
      <c r="H4019" t="s">
        <v>370</v>
      </c>
      <c r="I4019"/>
    </row>
    <row r="4020" spans="1:9">
      <c r="A4020" t="s">
        <v>3993</v>
      </c>
      <c r="B4020" s="1" t="str">
        <f>"20618919"</f>
        <v>20618919</v>
      </c>
      <c r="C4020" t="s">
        <v>2481</v>
      </c>
      <c r="D4020" t="s">
        <v>4003</v>
      </c>
      <c r="E4020" s="2"/>
      <c r="F4020" t="s">
        <v>27</v>
      </c>
      <c r="G4020" t="s">
        <v>25</v>
      </c>
      <c r="H4020" t="s">
        <v>25</v>
      </c>
      <c r="I4020"/>
    </row>
    <row r="4021" spans="1:9">
      <c r="A4021" t="s">
        <v>3993</v>
      </c>
      <c r="B4021" s="1" t="str">
        <f>"20837718"</f>
        <v>20837718</v>
      </c>
      <c r="C4021" t="s">
        <v>2481</v>
      </c>
      <c r="D4021" t="s">
        <v>4004</v>
      </c>
      <c r="E4021" s="2"/>
      <c r="F4021" t="s">
        <v>2346</v>
      </c>
      <c r="G4021" t="s">
        <v>122</v>
      </c>
      <c r="H4021" t="s">
        <v>122</v>
      </c>
      <c r="I4021"/>
    </row>
    <row r="4022" spans="1:9">
      <c r="A4022" t="s">
        <v>3993</v>
      </c>
      <c r="B4022" s="1" t="str">
        <f>"20833190"</f>
        <v>20833190</v>
      </c>
      <c r="C4022" t="s">
        <v>4005</v>
      </c>
      <c r="D4022" t="s">
        <v>4006</v>
      </c>
      <c r="E4022" s="2"/>
      <c r="F4022" t="s">
        <v>129</v>
      </c>
      <c r="G4022" t="s">
        <v>25</v>
      </c>
      <c r="H4022" t="s">
        <v>25</v>
      </c>
      <c r="I4022"/>
    </row>
    <row r="4023" spans="1:9">
      <c r="A4023" t="s">
        <v>3993</v>
      </c>
      <c r="B4023" s="1" t="str">
        <f>"20016535"</f>
        <v>20016535</v>
      </c>
      <c r="C4023" t="s">
        <v>4005</v>
      </c>
      <c r="D4023" t="s">
        <v>4007</v>
      </c>
      <c r="E4023" s="2"/>
      <c r="F4023" t="s">
        <v>27</v>
      </c>
      <c r="G4023" t="s">
        <v>25</v>
      </c>
      <c r="H4023" t="s">
        <v>25</v>
      </c>
      <c r="I4023"/>
    </row>
    <row r="4024" spans="1:9">
      <c r="A4024" t="s">
        <v>3993</v>
      </c>
      <c r="B4024" s="1" t="str">
        <f>"20626723"</f>
        <v>20626723</v>
      </c>
      <c r="C4024" t="s">
        <v>4005</v>
      </c>
      <c r="D4024" t="s">
        <v>4008</v>
      </c>
      <c r="E4024" s="2"/>
      <c r="F4024" t="s">
        <v>129</v>
      </c>
      <c r="G4024" t="s">
        <v>25</v>
      </c>
      <c r="H4024" t="s">
        <v>25</v>
      </c>
      <c r="I4024"/>
    </row>
    <row r="4025" spans="1:9">
      <c r="A4025" t="s">
        <v>3993</v>
      </c>
      <c r="B4025" s="1" t="str">
        <f>"20626723.2"</f>
        <v>20626723.2</v>
      </c>
      <c r="C4025" t="s">
        <v>4005</v>
      </c>
      <c r="D4025" t="s">
        <v>4008</v>
      </c>
      <c r="E4025" s="2"/>
      <c r="F4025" t="s">
        <v>129</v>
      </c>
      <c r="G4025" t="s">
        <v>25</v>
      </c>
      <c r="H4025" t="s">
        <v>332</v>
      </c>
      <c r="I4025"/>
    </row>
    <row r="4026" spans="1:9">
      <c r="A4026" t="s">
        <v>3993</v>
      </c>
      <c r="B4026" s="1" t="str">
        <f>"20833190.2"</f>
        <v>20833190.2</v>
      </c>
      <c r="C4026" t="s">
        <v>4005</v>
      </c>
      <c r="D4026" t="s">
        <v>4009</v>
      </c>
      <c r="E4026" s="2"/>
      <c r="F4026" t="s">
        <v>129</v>
      </c>
      <c r="G4026" t="s">
        <v>25</v>
      </c>
      <c r="H4026" t="s">
        <v>332</v>
      </c>
      <c r="I4026"/>
    </row>
    <row r="4027" spans="1:9">
      <c r="A4027" t="s">
        <v>3993</v>
      </c>
      <c r="B4027" s="1" t="str">
        <f>"20092627"</f>
        <v>20092627</v>
      </c>
      <c r="C4027" t="s">
        <v>4005</v>
      </c>
      <c r="D4027" t="s">
        <v>4010</v>
      </c>
      <c r="E4027" s="2"/>
      <c r="F4027" t="s">
        <v>129</v>
      </c>
      <c r="G4027" t="s">
        <v>25</v>
      </c>
      <c r="H4027" t="s">
        <v>25</v>
      </c>
      <c r="I4027"/>
    </row>
    <row r="4028" spans="1:9">
      <c r="A4028" t="s">
        <v>3993</v>
      </c>
      <c r="B4028" s="1" t="str">
        <f>"20092627.2"</f>
        <v>20092627.2</v>
      </c>
      <c r="C4028" t="s">
        <v>4005</v>
      </c>
      <c r="D4028" t="s">
        <v>4010</v>
      </c>
      <c r="E4028" s="2"/>
      <c r="F4028" t="s">
        <v>129</v>
      </c>
      <c r="G4028" t="s">
        <v>25</v>
      </c>
      <c r="H4028" t="s">
        <v>332</v>
      </c>
      <c r="I4028"/>
    </row>
    <row r="4029" spans="1:9">
      <c r="A4029" t="s">
        <v>3993</v>
      </c>
      <c r="B4029" s="1" t="str">
        <f>"20114299"</f>
        <v>20114299</v>
      </c>
      <c r="C4029" t="s">
        <v>4005</v>
      </c>
      <c r="D4029" t="s">
        <v>4011</v>
      </c>
      <c r="E4029" s="2"/>
      <c r="F4029" t="s">
        <v>129</v>
      </c>
      <c r="G4029" t="s">
        <v>25</v>
      </c>
      <c r="H4029" t="s">
        <v>25</v>
      </c>
      <c r="I4029"/>
    </row>
    <row r="4030" spans="1:9">
      <c r="A4030" t="s">
        <v>3993</v>
      </c>
      <c r="B4030" s="1" t="str">
        <f>"20114299.2"</f>
        <v>20114299.2</v>
      </c>
      <c r="C4030" t="s">
        <v>4005</v>
      </c>
      <c r="D4030" t="s">
        <v>4011</v>
      </c>
      <c r="E4030" s="2"/>
      <c r="F4030" t="s">
        <v>129</v>
      </c>
      <c r="G4030" t="s">
        <v>25</v>
      </c>
      <c r="H4030" t="s">
        <v>332</v>
      </c>
      <c r="I4030"/>
    </row>
    <row r="4031" spans="1:9">
      <c r="A4031" t="s">
        <v>3993</v>
      </c>
      <c r="B4031" s="1" t="str">
        <f>"20020422"</f>
        <v>20020422</v>
      </c>
      <c r="C4031" t="s">
        <v>4005</v>
      </c>
      <c r="D4031" t="s">
        <v>4012</v>
      </c>
      <c r="E4031" s="2"/>
      <c r="F4031" t="s">
        <v>206</v>
      </c>
      <c r="G4031" t="s">
        <v>25</v>
      </c>
      <c r="H4031" t="s">
        <v>25</v>
      </c>
      <c r="I4031"/>
    </row>
    <row r="4032" spans="1:9">
      <c r="A4032" t="s">
        <v>3993</v>
      </c>
      <c r="B4032" s="1" t="str">
        <f>"20020422.2"</f>
        <v>20020422.2</v>
      </c>
      <c r="C4032" t="s">
        <v>4005</v>
      </c>
      <c r="D4032" t="s">
        <v>4012</v>
      </c>
      <c r="E4032" s="2"/>
      <c r="F4032" t="s">
        <v>206</v>
      </c>
      <c r="G4032" t="s">
        <v>25</v>
      </c>
      <c r="H4032" t="s">
        <v>332</v>
      </c>
      <c r="I4032"/>
    </row>
    <row r="4033" spans="1:9">
      <c r="A4033" t="s">
        <v>3993</v>
      </c>
      <c r="B4033" s="1" t="str">
        <f>"20828822"</f>
        <v>20828822</v>
      </c>
      <c r="C4033" t="s">
        <v>4013</v>
      </c>
      <c r="D4033" t="s">
        <v>4014</v>
      </c>
      <c r="E4033" s="2"/>
      <c r="F4033" t="s">
        <v>206</v>
      </c>
      <c r="G4033" t="s">
        <v>25</v>
      </c>
      <c r="H4033" t="s">
        <v>25</v>
      </c>
      <c r="I4033"/>
    </row>
    <row r="4034" spans="1:9">
      <c r="A4034" t="s">
        <v>3993</v>
      </c>
      <c r="B4034" s="1" t="str">
        <f>"20828822.2"</f>
        <v>20828822.2</v>
      </c>
      <c r="C4034" t="s">
        <v>4013</v>
      </c>
      <c r="D4034" t="s">
        <v>4014</v>
      </c>
      <c r="E4034" s="2"/>
      <c r="F4034" t="s">
        <v>206</v>
      </c>
      <c r="G4034" t="s">
        <v>25</v>
      </c>
      <c r="H4034" t="s">
        <v>332</v>
      </c>
      <c r="I4034"/>
    </row>
    <row r="4035" spans="1:9">
      <c r="A4035" t="s">
        <v>3993</v>
      </c>
      <c r="B4035" s="1" t="str">
        <f>"20828745"</f>
        <v>20828745</v>
      </c>
      <c r="C4035" t="s">
        <v>4013</v>
      </c>
      <c r="D4035" t="s">
        <v>4010</v>
      </c>
      <c r="E4035" s="2"/>
      <c r="F4035" t="s">
        <v>206</v>
      </c>
      <c r="G4035" t="s">
        <v>25</v>
      </c>
      <c r="H4035" t="s">
        <v>25</v>
      </c>
      <c r="I4035"/>
    </row>
    <row r="4036" spans="1:9">
      <c r="A4036" t="s">
        <v>3993</v>
      </c>
      <c r="B4036" s="1" t="str">
        <f>"20828745.2"</f>
        <v>20828745.2</v>
      </c>
      <c r="C4036" t="s">
        <v>4013</v>
      </c>
      <c r="D4036" t="s">
        <v>4010</v>
      </c>
      <c r="E4036" s="2"/>
      <c r="F4036" t="s">
        <v>206</v>
      </c>
      <c r="G4036" t="s">
        <v>25</v>
      </c>
      <c r="H4036" t="s">
        <v>332</v>
      </c>
      <c r="I4036"/>
    </row>
    <row r="4037" spans="1:9">
      <c r="A4037" t="s">
        <v>4015</v>
      </c>
      <c r="B4037" s="1" t="str">
        <f>"20069124"</f>
        <v>20069124</v>
      </c>
      <c r="C4037" t="s">
        <v>4016</v>
      </c>
      <c r="D4037" t="s">
        <v>4017</v>
      </c>
      <c r="E4037" s="2"/>
      <c r="F4037" t="s">
        <v>1461</v>
      </c>
      <c r="G4037" t="s">
        <v>122</v>
      </c>
      <c r="H4037" t="s">
        <v>122</v>
      </c>
      <c r="I4037"/>
    </row>
    <row r="4038" spans="1:9">
      <c r="A4038" t="s">
        <v>4015</v>
      </c>
      <c r="B4038" s="1" t="str">
        <f>"20837720"</f>
        <v>20837720</v>
      </c>
      <c r="C4038" t="s">
        <v>2481</v>
      </c>
      <c r="D4038" t="s">
        <v>4018</v>
      </c>
      <c r="E4038" s="2"/>
      <c r="F4038" t="s">
        <v>4019</v>
      </c>
      <c r="G4038" t="s">
        <v>4000</v>
      </c>
      <c r="H4038" t="s">
        <v>4000</v>
      </c>
      <c r="I4038"/>
    </row>
    <row r="4039" spans="1:9">
      <c r="A4039" t="s">
        <v>4015</v>
      </c>
      <c r="B4039" s="1" t="str">
        <f>"20837741"</f>
        <v>20837741</v>
      </c>
      <c r="C4039" t="s">
        <v>2481</v>
      </c>
      <c r="D4039" t="s">
        <v>4020</v>
      </c>
      <c r="E4039" s="2"/>
      <c r="F4039" t="s">
        <v>4021</v>
      </c>
      <c r="G4039" t="s">
        <v>122</v>
      </c>
      <c r="H4039" t="s">
        <v>122</v>
      </c>
      <c r="I4039"/>
    </row>
    <row r="4040" spans="1:9">
      <c r="A4040" t="s">
        <v>4015</v>
      </c>
      <c r="B4040" s="1" t="str">
        <f>"20837719"</f>
        <v>20837719</v>
      </c>
      <c r="C4040" t="s">
        <v>2481</v>
      </c>
      <c r="D4040" t="s">
        <v>4022</v>
      </c>
      <c r="E4040" s="2"/>
      <c r="F4040" t="s">
        <v>4023</v>
      </c>
      <c r="G4040" t="s">
        <v>4024</v>
      </c>
      <c r="H4040" t="s">
        <v>4024</v>
      </c>
      <c r="I4040"/>
    </row>
    <row r="4041" spans="1:9">
      <c r="A4041" t="s">
        <v>4015</v>
      </c>
      <c r="B4041" s="1" t="str">
        <f>"20837716"</f>
        <v>20837716</v>
      </c>
      <c r="C4041" t="s">
        <v>2481</v>
      </c>
      <c r="D4041" t="s">
        <v>4025</v>
      </c>
      <c r="E4041" s="2"/>
      <c r="F4041" t="s">
        <v>4021</v>
      </c>
      <c r="G4041" t="s">
        <v>122</v>
      </c>
      <c r="H4041" t="s">
        <v>122</v>
      </c>
      <c r="I4041"/>
    </row>
    <row r="4042" spans="1:9">
      <c r="A4042" t="s">
        <v>4015</v>
      </c>
      <c r="B4042" s="1" t="str">
        <f>"20837739"</f>
        <v>20837739</v>
      </c>
      <c r="C4042" t="s">
        <v>2481</v>
      </c>
      <c r="D4042" t="s">
        <v>4026</v>
      </c>
      <c r="E4042" s="2"/>
      <c r="F4042" t="s">
        <v>4021</v>
      </c>
      <c r="G4042" t="s">
        <v>122</v>
      </c>
      <c r="H4042" t="s">
        <v>122</v>
      </c>
      <c r="I4042"/>
    </row>
    <row r="4043" spans="1:9">
      <c r="A4043" t="s">
        <v>4015</v>
      </c>
      <c r="B4043" s="1" t="str">
        <f>"24000021"</f>
        <v>24000021</v>
      </c>
      <c r="C4043" t="s">
        <v>2481</v>
      </c>
      <c r="D4043" t="s">
        <v>4027</v>
      </c>
      <c r="E4043" s="2"/>
      <c r="F4043" t="s">
        <v>380</v>
      </c>
      <c r="G4043" t="s">
        <v>4028</v>
      </c>
      <c r="H4043" t="s">
        <v>4028</v>
      </c>
      <c r="I4043"/>
    </row>
    <row r="4044" spans="1:9">
      <c r="A4044" t="s">
        <v>4015</v>
      </c>
      <c r="B4044" s="1" t="str">
        <f>"20837713"</f>
        <v>20837713</v>
      </c>
      <c r="C4044" t="s">
        <v>2481</v>
      </c>
      <c r="D4044" t="s">
        <v>4029</v>
      </c>
      <c r="E4044" s="2"/>
      <c r="F4044" t="s">
        <v>4030</v>
      </c>
      <c r="G4044" t="s">
        <v>4024</v>
      </c>
      <c r="H4044" t="s">
        <v>4024</v>
      </c>
      <c r="I4044"/>
    </row>
    <row r="4045" spans="1:9">
      <c r="A4045" t="s">
        <v>4015</v>
      </c>
      <c r="B4045" s="1" t="str">
        <f>"20837710"</f>
        <v>20837710</v>
      </c>
      <c r="C4045" t="s">
        <v>2481</v>
      </c>
      <c r="D4045" t="s">
        <v>4031</v>
      </c>
      <c r="E4045" s="2"/>
      <c r="F4045" t="s">
        <v>27</v>
      </c>
      <c r="G4045" t="s">
        <v>370</v>
      </c>
      <c r="H4045" t="s">
        <v>370</v>
      </c>
      <c r="I4045"/>
    </row>
    <row r="4046" spans="1:9">
      <c r="A4046" t="s">
        <v>4015</v>
      </c>
      <c r="B4046" s="1" t="str">
        <f>"20837712"</f>
        <v>20837712</v>
      </c>
      <c r="C4046" t="s">
        <v>2481</v>
      </c>
      <c r="D4046" t="s">
        <v>4032</v>
      </c>
      <c r="E4046" s="2"/>
      <c r="F4046" t="s">
        <v>4023</v>
      </c>
      <c r="G4046" t="s">
        <v>370</v>
      </c>
      <c r="H4046" t="s">
        <v>370</v>
      </c>
      <c r="I4046"/>
    </row>
    <row r="4047" spans="1:9">
      <c r="A4047" t="s">
        <v>4015</v>
      </c>
      <c r="B4047" s="1" t="str">
        <f>"20837738"</f>
        <v>20837738</v>
      </c>
      <c r="C4047" t="s">
        <v>2481</v>
      </c>
      <c r="D4047" t="s">
        <v>4033</v>
      </c>
      <c r="E4047" s="2"/>
      <c r="F4047" t="s">
        <v>4021</v>
      </c>
      <c r="G4047" t="s">
        <v>122</v>
      </c>
      <c r="H4047" t="s">
        <v>122</v>
      </c>
      <c r="I4047"/>
    </row>
    <row r="4048" spans="1:9">
      <c r="A4048" t="s">
        <v>4015</v>
      </c>
      <c r="B4048" s="1" t="str">
        <f>"20837742"</f>
        <v>20837742</v>
      </c>
      <c r="C4048" t="s">
        <v>2481</v>
      </c>
      <c r="D4048" t="s">
        <v>4034</v>
      </c>
      <c r="E4048" s="2"/>
      <c r="F4048" t="s">
        <v>4030</v>
      </c>
      <c r="G4048" t="s">
        <v>122</v>
      </c>
      <c r="H4048" t="s">
        <v>122</v>
      </c>
      <c r="I4048"/>
    </row>
    <row r="4049" spans="1:9">
      <c r="A4049" t="s">
        <v>4015</v>
      </c>
      <c r="B4049" s="1" t="str">
        <f>"20837740"</f>
        <v>20837740</v>
      </c>
      <c r="C4049" t="s">
        <v>2481</v>
      </c>
      <c r="D4049" t="s">
        <v>4035</v>
      </c>
      <c r="E4049" s="2"/>
      <c r="F4049" t="s">
        <v>4021</v>
      </c>
      <c r="G4049" t="s">
        <v>122</v>
      </c>
      <c r="H4049" t="s">
        <v>122</v>
      </c>
      <c r="I4049"/>
    </row>
    <row r="4050" spans="1:9">
      <c r="A4050" t="s">
        <v>4015</v>
      </c>
      <c r="B4050" s="1" t="str">
        <f>"20837714"</f>
        <v>20837714</v>
      </c>
      <c r="C4050" t="s">
        <v>4036</v>
      </c>
      <c r="D4050" t="s">
        <v>4037</v>
      </c>
      <c r="E4050" s="2"/>
      <c r="F4050" t="s">
        <v>4021</v>
      </c>
      <c r="G4050" t="s">
        <v>4024</v>
      </c>
      <c r="H4050" t="s">
        <v>4024</v>
      </c>
      <c r="I4050"/>
    </row>
    <row r="4051" spans="1:9">
      <c r="A4051" t="s">
        <v>4015</v>
      </c>
      <c r="B4051" s="1" t="str">
        <f>"20837715"</f>
        <v>20837715</v>
      </c>
      <c r="C4051" t="s">
        <v>4036</v>
      </c>
      <c r="D4051" t="s">
        <v>4038</v>
      </c>
      <c r="E4051" s="2"/>
      <c r="F4051" t="s">
        <v>4021</v>
      </c>
      <c r="G4051" t="s">
        <v>4024</v>
      </c>
      <c r="H4051" t="s">
        <v>4024</v>
      </c>
      <c r="I4051"/>
    </row>
    <row r="4052" spans="1:9">
      <c r="A4052" t="s">
        <v>4015</v>
      </c>
      <c r="B4052" s="1" t="str">
        <f>"20234270"</f>
        <v>20234270</v>
      </c>
      <c r="C4052" t="s">
        <v>4039</v>
      </c>
      <c r="D4052" t="s">
        <v>4040</v>
      </c>
      <c r="E4052" s="2"/>
      <c r="F4052" t="s">
        <v>206</v>
      </c>
      <c r="G4052" t="s">
        <v>25</v>
      </c>
      <c r="H4052" t="s">
        <v>25</v>
      </c>
      <c r="I4052"/>
    </row>
    <row r="4053" spans="1:9">
      <c r="A4053" t="s">
        <v>4015</v>
      </c>
      <c r="B4053" s="1" t="str">
        <f>"20234270.2"</f>
        <v>20234270.2</v>
      </c>
      <c r="C4053" t="s">
        <v>4039</v>
      </c>
      <c r="D4053" t="s">
        <v>4040</v>
      </c>
      <c r="E4053" s="2"/>
      <c r="F4053" t="s">
        <v>206</v>
      </c>
      <c r="G4053" t="s">
        <v>25</v>
      </c>
      <c r="H4053" t="s">
        <v>332</v>
      </c>
      <c r="I4053"/>
    </row>
    <row r="4054" spans="1:9">
      <c r="A4054" t="s">
        <v>4015</v>
      </c>
      <c r="B4054" s="1" t="str">
        <f>"20016554"</f>
        <v>20016554</v>
      </c>
      <c r="C4054" t="s">
        <v>4041</v>
      </c>
      <c r="D4054" t="s">
        <v>4042</v>
      </c>
      <c r="E4054" s="2"/>
      <c r="F4054" t="s">
        <v>380</v>
      </c>
      <c r="G4054" t="s">
        <v>4024</v>
      </c>
      <c r="H4054" t="s">
        <v>4024</v>
      </c>
      <c r="I4054"/>
    </row>
    <row r="4055" spans="1:9">
      <c r="A4055" t="s">
        <v>4015</v>
      </c>
      <c r="B4055" s="1" t="str">
        <f>"20016554.2"</f>
        <v>20016554.2</v>
      </c>
      <c r="C4055" t="s">
        <v>4041</v>
      </c>
      <c r="D4055" t="s">
        <v>4042</v>
      </c>
      <c r="E4055" s="2"/>
      <c r="F4055" t="s">
        <v>380</v>
      </c>
      <c r="G4055" t="s">
        <v>4024</v>
      </c>
      <c r="H4055" t="s">
        <v>1453</v>
      </c>
      <c r="I4055"/>
    </row>
    <row r="4056" spans="1:9">
      <c r="A4056" t="s">
        <v>4015</v>
      </c>
      <c r="B4056" s="1" t="str">
        <f>"20016556"</f>
        <v>20016556</v>
      </c>
      <c r="C4056" t="s">
        <v>4041</v>
      </c>
      <c r="D4056" t="s">
        <v>4043</v>
      </c>
      <c r="E4056" s="2"/>
      <c r="F4056" t="s">
        <v>2346</v>
      </c>
      <c r="G4056" t="s">
        <v>4024</v>
      </c>
      <c r="H4056" t="s">
        <v>4024</v>
      </c>
      <c r="I4056"/>
    </row>
    <row r="4057" spans="1:9">
      <c r="A4057" t="s">
        <v>4015</v>
      </c>
      <c r="B4057" s="1" t="str">
        <f>"20016556.2"</f>
        <v>20016556.2</v>
      </c>
      <c r="C4057" t="s">
        <v>4041</v>
      </c>
      <c r="D4057" t="s">
        <v>4043</v>
      </c>
      <c r="E4057" s="2"/>
      <c r="F4057" t="s">
        <v>2346</v>
      </c>
      <c r="G4057" t="s">
        <v>4024</v>
      </c>
      <c r="H4057" t="s">
        <v>1453</v>
      </c>
      <c r="I4057"/>
    </row>
    <row r="4058" spans="1:9">
      <c r="A4058" t="s">
        <v>4015</v>
      </c>
      <c r="B4058" s="1" t="str">
        <f>"20282301"</f>
        <v>20282301</v>
      </c>
      <c r="C4058" t="s">
        <v>4044</v>
      </c>
      <c r="D4058" t="s">
        <v>4045</v>
      </c>
      <c r="E4058" s="2"/>
      <c r="F4058" t="s">
        <v>380</v>
      </c>
      <c r="G4058" t="s">
        <v>4024</v>
      </c>
      <c r="H4058" t="s">
        <v>4024</v>
      </c>
      <c r="I4058"/>
    </row>
    <row r="4059" spans="1:9">
      <c r="A4059" t="s">
        <v>4015</v>
      </c>
      <c r="B4059" s="1" t="str">
        <f>"20282301.2"</f>
        <v>20282301.2</v>
      </c>
      <c r="C4059" t="s">
        <v>4044</v>
      </c>
      <c r="D4059" t="s">
        <v>4045</v>
      </c>
      <c r="E4059" s="2"/>
      <c r="F4059" t="s">
        <v>380</v>
      </c>
      <c r="G4059" t="s">
        <v>4024</v>
      </c>
      <c r="H4059" t="s">
        <v>1453</v>
      </c>
      <c r="I4059"/>
    </row>
    <row r="4060" spans="1:9">
      <c r="A4060" t="s">
        <v>4015</v>
      </c>
      <c r="B4060" s="1" t="str">
        <f>"28286174"</f>
        <v>28286174</v>
      </c>
      <c r="C4060" t="s">
        <v>4046</v>
      </c>
      <c r="D4060" t="s">
        <v>4047</v>
      </c>
      <c r="E4060" s="2"/>
      <c r="F4060" t="s">
        <v>380</v>
      </c>
      <c r="G4060" t="s">
        <v>4028</v>
      </c>
      <c r="H4060" t="s">
        <v>4028</v>
      </c>
      <c r="I4060"/>
    </row>
    <row r="4061" spans="1:9">
      <c r="A4061" t="s">
        <v>4015</v>
      </c>
      <c r="B4061" s="1" t="str">
        <f>"28286176"</f>
        <v>28286176</v>
      </c>
      <c r="C4061" t="s">
        <v>4046</v>
      </c>
      <c r="D4061" t="s">
        <v>4048</v>
      </c>
      <c r="E4061" s="2"/>
      <c r="F4061" t="s">
        <v>380</v>
      </c>
      <c r="G4061" t="s">
        <v>4028</v>
      </c>
      <c r="H4061" t="s">
        <v>4028</v>
      </c>
      <c r="I4061"/>
    </row>
    <row r="4062" spans="1:9">
      <c r="A4062" t="s">
        <v>4015</v>
      </c>
      <c r="B4062" s="1" t="str">
        <f>"20085513"</f>
        <v>20085513</v>
      </c>
      <c r="C4062" t="s">
        <v>4005</v>
      </c>
      <c r="D4062" t="s">
        <v>4049</v>
      </c>
      <c r="E4062" s="2"/>
      <c r="F4062" t="s">
        <v>1501</v>
      </c>
      <c r="G4062" t="s">
        <v>4050</v>
      </c>
      <c r="H4062" t="s">
        <v>4050</v>
      </c>
      <c r="I4062"/>
    </row>
    <row r="4063" spans="1:9">
      <c r="A4063" t="s">
        <v>4015</v>
      </c>
      <c r="B4063" s="1" t="str">
        <f>"20085513.2"</f>
        <v>20085513.2</v>
      </c>
      <c r="C4063" t="s">
        <v>4005</v>
      </c>
      <c r="D4063" t="s">
        <v>4049</v>
      </c>
      <c r="E4063" s="2"/>
      <c r="F4063" t="s">
        <v>1501</v>
      </c>
      <c r="G4063" t="s">
        <v>4050</v>
      </c>
      <c r="H4063" t="s">
        <v>383</v>
      </c>
      <c r="I4063"/>
    </row>
    <row r="4064" spans="1:9">
      <c r="A4064" t="s">
        <v>4015</v>
      </c>
      <c r="B4064" s="1" t="str">
        <f>"20085520"</f>
        <v>20085520</v>
      </c>
      <c r="C4064" t="s">
        <v>4005</v>
      </c>
      <c r="D4064" t="s">
        <v>4049</v>
      </c>
      <c r="E4064" s="2"/>
      <c r="F4064" t="s">
        <v>4023</v>
      </c>
      <c r="G4064" t="s">
        <v>4050</v>
      </c>
      <c r="H4064" t="s">
        <v>4050</v>
      </c>
      <c r="I4064"/>
    </row>
    <row r="4065" spans="1:9">
      <c r="A4065" t="s">
        <v>4015</v>
      </c>
      <c r="B4065" s="1" t="str">
        <f>"20085520.2"</f>
        <v>20085520.2</v>
      </c>
      <c r="C4065" t="s">
        <v>4005</v>
      </c>
      <c r="D4065" t="s">
        <v>4049</v>
      </c>
      <c r="E4065" s="2"/>
      <c r="F4065" t="s">
        <v>4023</v>
      </c>
      <c r="G4065" t="s">
        <v>4050</v>
      </c>
      <c r="H4065" t="s">
        <v>383</v>
      </c>
      <c r="I4065"/>
    </row>
    <row r="4066" spans="1:9">
      <c r="A4066" t="s">
        <v>4015</v>
      </c>
      <c r="B4066" s="1" t="str">
        <f>"20085919"</f>
        <v>20085919</v>
      </c>
      <c r="C4066" t="s">
        <v>4005</v>
      </c>
      <c r="D4066" t="s">
        <v>4049</v>
      </c>
      <c r="E4066" s="2"/>
      <c r="F4066" t="s">
        <v>27</v>
      </c>
      <c r="G4066" t="s">
        <v>1368</v>
      </c>
      <c r="H4066" t="s">
        <v>1368</v>
      </c>
      <c r="I4066"/>
    </row>
    <row r="4067" spans="1:9">
      <c r="A4067" t="s">
        <v>4015</v>
      </c>
      <c r="B4067" s="1" t="str">
        <f>"20085919.2"</f>
        <v>20085919.2</v>
      </c>
      <c r="C4067" t="s">
        <v>4005</v>
      </c>
      <c r="D4067" t="s">
        <v>4049</v>
      </c>
      <c r="E4067" s="2"/>
      <c r="F4067" t="s">
        <v>27</v>
      </c>
      <c r="G4067" t="s">
        <v>1368</v>
      </c>
      <c r="H4067" t="s">
        <v>383</v>
      </c>
      <c r="I4067"/>
    </row>
    <row r="4068" spans="1:9">
      <c r="A4068" t="s">
        <v>4015</v>
      </c>
      <c r="B4068" s="1" t="str">
        <f>"20090067"</f>
        <v>20090067</v>
      </c>
      <c r="C4068" t="s">
        <v>4005</v>
      </c>
      <c r="D4068" t="s">
        <v>4049</v>
      </c>
      <c r="E4068" s="2"/>
      <c r="F4068" t="s">
        <v>129</v>
      </c>
      <c r="G4068" t="s">
        <v>1369</v>
      </c>
      <c r="H4068" t="s">
        <v>1369</v>
      </c>
      <c r="I4068"/>
    </row>
    <row r="4069" spans="1:9">
      <c r="A4069" t="s">
        <v>4015</v>
      </c>
      <c r="B4069" s="1" t="str">
        <f>"20090067.2"</f>
        <v>20090067.2</v>
      </c>
      <c r="C4069" t="s">
        <v>4005</v>
      </c>
      <c r="D4069" t="s">
        <v>4049</v>
      </c>
      <c r="E4069" s="2"/>
      <c r="F4069" t="s">
        <v>129</v>
      </c>
      <c r="G4069" t="s">
        <v>1369</v>
      </c>
      <c r="H4069" t="s">
        <v>383</v>
      </c>
      <c r="I4069"/>
    </row>
    <row r="4070" spans="1:9">
      <c r="A4070" t="s">
        <v>4015</v>
      </c>
      <c r="B4070" s="1" t="str">
        <f>"20085827"</f>
        <v>20085827</v>
      </c>
      <c r="C4070" t="s">
        <v>4005</v>
      </c>
      <c r="D4070" t="s">
        <v>4051</v>
      </c>
      <c r="E4070" s="2"/>
      <c r="F4070" t="s">
        <v>27</v>
      </c>
      <c r="G4070" t="s">
        <v>4052</v>
      </c>
      <c r="H4070" t="s">
        <v>4052</v>
      </c>
      <c r="I4070"/>
    </row>
    <row r="4071" spans="1:9">
      <c r="A4071" t="s">
        <v>4015</v>
      </c>
      <c r="B4071" s="1" t="str">
        <f>"20085827.2"</f>
        <v>20085827.2</v>
      </c>
      <c r="C4071" t="s">
        <v>4005</v>
      </c>
      <c r="D4071" t="s">
        <v>4051</v>
      </c>
      <c r="E4071" s="2"/>
      <c r="F4071" t="s">
        <v>27</v>
      </c>
      <c r="G4071" t="s">
        <v>4052</v>
      </c>
      <c r="H4071" t="s">
        <v>2539</v>
      </c>
      <c r="I4071"/>
    </row>
    <row r="4072" spans="1:9">
      <c r="A4072" t="s">
        <v>4015</v>
      </c>
      <c r="B4072" s="1" t="str">
        <f>"20022853"</f>
        <v>20022853</v>
      </c>
      <c r="C4072" t="s">
        <v>4005</v>
      </c>
      <c r="D4072" t="s">
        <v>4053</v>
      </c>
      <c r="E4072" s="2"/>
      <c r="F4072" t="s">
        <v>4021</v>
      </c>
      <c r="G4072" t="s">
        <v>1368</v>
      </c>
      <c r="H4072" t="s">
        <v>1368</v>
      </c>
      <c r="I4072"/>
    </row>
    <row r="4073" spans="1:9">
      <c r="A4073" t="s">
        <v>4015</v>
      </c>
      <c r="B4073" s="1" t="str">
        <f>"20022853.2"</f>
        <v>20022853.2</v>
      </c>
      <c r="C4073" t="s">
        <v>4005</v>
      </c>
      <c r="D4073" t="s">
        <v>4053</v>
      </c>
      <c r="E4073" s="2"/>
      <c r="F4073" t="s">
        <v>4021</v>
      </c>
      <c r="G4073" t="s">
        <v>1368</v>
      </c>
      <c r="H4073" t="s">
        <v>383</v>
      </c>
      <c r="I4073"/>
    </row>
    <row r="4074" spans="1:9">
      <c r="A4074" t="s">
        <v>4015</v>
      </c>
      <c r="B4074" s="1" t="str">
        <f>"22222981"</f>
        <v>22222981</v>
      </c>
      <c r="C4074" t="s">
        <v>4005</v>
      </c>
      <c r="D4074" t="s">
        <v>4054</v>
      </c>
      <c r="E4074" s="2"/>
      <c r="F4074" t="s">
        <v>2346</v>
      </c>
      <c r="G4074" t="s">
        <v>4024</v>
      </c>
      <c r="H4074" t="s">
        <v>4024</v>
      </c>
      <c r="I4074"/>
    </row>
    <row r="4075" spans="1:9">
      <c r="A4075" t="s">
        <v>4015</v>
      </c>
      <c r="B4075" s="1" t="str">
        <f>"22222981.2"</f>
        <v>22222981.2</v>
      </c>
      <c r="C4075" t="s">
        <v>4005</v>
      </c>
      <c r="D4075" t="s">
        <v>4054</v>
      </c>
      <c r="E4075" s="2"/>
      <c r="F4075" t="s">
        <v>2346</v>
      </c>
      <c r="G4075" t="s">
        <v>4024</v>
      </c>
      <c r="H4075" t="s">
        <v>1453</v>
      </c>
      <c r="I4075"/>
    </row>
    <row r="4076" spans="1:9">
      <c r="A4076" t="s">
        <v>4015</v>
      </c>
      <c r="B4076" s="1" t="str">
        <f>"20016537"</f>
        <v>20016537</v>
      </c>
      <c r="C4076" t="s">
        <v>4005</v>
      </c>
      <c r="D4076" t="s">
        <v>4055</v>
      </c>
      <c r="E4076" s="2"/>
      <c r="F4076" t="s">
        <v>4021</v>
      </c>
      <c r="G4076" t="s">
        <v>4056</v>
      </c>
      <c r="H4076" t="s">
        <v>4056</v>
      </c>
      <c r="I4076"/>
    </row>
    <row r="4077" spans="1:9">
      <c r="A4077" t="s">
        <v>4015</v>
      </c>
      <c r="B4077" s="1" t="str">
        <f>"20016536"</f>
        <v>20016536</v>
      </c>
      <c r="C4077" t="s">
        <v>4005</v>
      </c>
      <c r="D4077" t="s">
        <v>4057</v>
      </c>
      <c r="E4077" s="2"/>
      <c r="F4077" t="s">
        <v>4023</v>
      </c>
      <c r="G4077" t="s">
        <v>4024</v>
      </c>
      <c r="H4077" t="s">
        <v>4024</v>
      </c>
      <c r="I4077"/>
    </row>
    <row r="4078" spans="1:9">
      <c r="A4078" t="s">
        <v>4015</v>
      </c>
      <c r="B4078" s="1" t="str">
        <f>"20016536.2"</f>
        <v>20016536.2</v>
      </c>
      <c r="C4078" t="s">
        <v>4005</v>
      </c>
      <c r="D4078" t="s">
        <v>4057</v>
      </c>
      <c r="E4078" s="2"/>
      <c r="F4078" t="s">
        <v>4023</v>
      </c>
      <c r="G4078" t="s">
        <v>4024</v>
      </c>
      <c r="H4078" t="s">
        <v>1453</v>
      </c>
      <c r="I4078"/>
    </row>
    <row r="4079" spans="1:9">
      <c r="A4079" t="s">
        <v>4015</v>
      </c>
      <c r="B4079" s="1" t="str">
        <f>"20020576"</f>
        <v>20020576</v>
      </c>
      <c r="C4079" t="s">
        <v>4005</v>
      </c>
      <c r="D4079" t="s">
        <v>4058</v>
      </c>
      <c r="E4079" s="2"/>
      <c r="F4079" t="s">
        <v>27</v>
      </c>
      <c r="G4079" t="s">
        <v>25</v>
      </c>
      <c r="H4079" t="s">
        <v>25</v>
      </c>
      <c r="I4079"/>
    </row>
    <row r="4080" spans="1:9">
      <c r="A4080" t="s">
        <v>4015</v>
      </c>
      <c r="B4080" s="1" t="str">
        <f>"20978509"</f>
        <v>20978509</v>
      </c>
      <c r="C4080" t="s">
        <v>4005</v>
      </c>
      <c r="D4080" t="s">
        <v>4059</v>
      </c>
      <c r="E4080" s="2"/>
      <c r="F4080" t="s">
        <v>79</v>
      </c>
      <c r="G4080" t="s">
        <v>4052</v>
      </c>
      <c r="H4080" t="s">
        <v>4052</v>
      </c>
      <c r="I4080"/>
    </row>
    <row r="4081" spans="1:9">
      <c r="A4081" t="s">
        <v>4015</v>
      </c>
      <c r="B4081" s="1" t="str">
        <f>"20010362"</f>
        <v>20010362</v>
      </c>
      <c r="C4081" t="s">
        <v>4005</v>
      </c>
      <c r="D4081" t="s">
        <v>4060</v>
      </c>
      <c r="E4081" s="2"/>
      <c r="F4081" t="s">
        <v>4023</v>
      </c>
      <c r="G4081" t="s">
        <v>4024</v>
      </c>
      <c r="H4081" t="s">
        <v>4024</v>
      </c>
      <c r="I4081"/>
    </row>
    <row r="4082" spans="1:9">
      <c r="A4082" t="s">
        <v>4015</v>
      </c>
      <c r="B4082" s="1" t="str">
        <f>"20011093"</f>
        <v>20011093</v>
      </c>
      <c r="C4082" t="s">
        <v>4005</v>
      </c>
      <c r="D4082" t="s">
        <v>4060</v>
      </c>
      <c r="E4082" s="2"/>
      <c r="F4082" t="s">
        <v>206</v>
      </c>
      <c r="G4082" t="s">
        <v>1368</v>
      </c>
      <c r="H4082" t="s">
        <v>1368</v>
      </c>
      <c r="I4082"/>
    </row>
    <row r="4083" spans="1:9">
      <c r="A4083" t="s">
        <v>4015</v>
      </c>
      <c r="B4083" s="1" t="str">
        <f>"20011093.2"</f>
        <v>20011093.2</v>
      </c>
      <c r="C4083" t="s">
        <v>4005</v>
      </c>
      <c r="D4083" t="s">
        <v>4060</v>
      </c>
      <c r="E4083" s="2"/>
      <c r="F4083" t="s">
        <v>206</v>
      </c>
      <c r="G4083" t="s">
        <v>1368</v>
      </c>
      <c r="H4083" t="s">
        <v>383</v>
      </c>
      <c r="I4083"/>
    </row>
    <row r="4084" spans="1:9">
      <c r="A4084" t="s">
        <v>4015</v>
      </c>
      <c r="B4084" s="1" t="str">
        <f>"20118280"</f>
        <v>20118280</v>
      </c>
      <c r="C4084" t="s">
        <v>4005</v>
      </c>
      <c r="D4084" t="s">
        <v>4061</v>
      </c>
      <c r="E4084" s="2"/>
      <c r="F4084" t="s">
        <v>4021</v>
      </c>
      <c r="G4084" t="s">
        <v>1369</v>
      </c>
      <c r="H4084" t="s">
        <v>122</v>
      </c>
      <c r="I4084"/>
    </row>
    <row r="4085" spans="1:9">
      <c r="A4085" t="s">
        <v>4015</v>
      </c>
      <c r="B4085" s="1" t="str">
        <f>"20118938"</f>
        <v>20118938</v>
      </c>
      <c r="C4085" t="s">
        <v>4005</v>
      </c>
      <c r="D4085" t="s">
        <v>4062</v>
      </c>
      <c r="E4085" s="2"/>
      <c r="F4085" t="s">
        <v>4021</v>
      </c>
      <c r="G4085" t="s">
        <v>4063</v>
      </c>
      <c r="H4085" t="s">
        <v>4063</v>
      </c>
      <c r="I4085"/>
    </row>
    <row r="4086" spans="1:9">
      <c r="A4086" t="s">
        <v>4015</v>
      </c>
      <c r="B4086" s="1" t="str">
        <f>"20102137"</f>
        <v>20102137</v>
      </c>
      <c r="C4086" t="s">
        <v>4005</v>
      </c>
      <c r="D4086" t="s">
        <v>4064</v>
      </c>
      <c r="E4086" s="2"/>
      <c r="F4086" t="s">
        <v>4021</v>
      </c>
      <c r="G4086" t="s">
        <v>1368</v>
      </c>
      <c r="H4086" t="s">
        <v>1368</v>
      </c>
      <c r="I4086"/>
    </row>
    <row r="4087" spans="1:9">
      <c r="A4087" t="s">
        <v>4015</v>
      </c>
      <c r="B4087" s="1" t="str">
        <f>"20102136"</f>
        <v>20102136</v>
      </c>
      <c r="C4087" t="s">
        <v>4005</v>
      </c>
      <c r="D4087" t="s">
        <v>4065</v>
      </c>
      <c r="E4087" s="2"/>
      <c r="F4087" t="s">
        <v>4021</v>
      </c>
      <c r="G4087" t="s">
        <v>1368</v>
      </c>
      <c r="H4087" t="s">
        <v>1368</v>
      </c>
      <c r="I4087"/>
    </row>
    <row r="4088" spans="1:9">
      <c r="A4088" t="s">
        <v>4015</v>
      </c>
      <c r="B4088" s="1" t="str">
        <f>"20102136.2"</f>
        <v>20102136.2</v>
      </c>
      <c r="C4088" t="s">
        <v>4005</v>
      </c>
      <c r="D4088" t="s">
        <v>4065</v>
      </c>
      <c r="E4088" s="2"/>
      <c r="F4088" t="s">
        <v>4021</v>
      </c>
      <c r="G4088" t="s">
        <v>1368</v>
      </c>
      <c r="H4088" t="s">
        <v>383</v>
      </c>
      <c r="I4088"/>
    </row>
    <row r="4089" spans="1:9">
      <c r="A4089" t="s">
        <v>4015</v>
      </c>
      <c r="B4089" s="1" t="str">
        <f>"20102134"</f>
        <v>20102134</v>
      </c>
      <c r="C4089" t="s">
        <v>4005</v>
      </c>
      <c r="D4089" t="s">
        <v>4066</v>
      </c>
      <c r="E4089" s="2"/>
      <c r="F4089" t="s">
        <v>4030</v>
      </c>
      <c r="G4089" t="s">
        <v>1368</v>
      </c>
      <c r="H4089" t="s">
        <v>1368</v>
      </c>
      <c r="I4089"/>
    </row>
    <row r="4090" spans="1:9">
      <c r="A4090" t="s">
        <v>4015</v>
      </c>
      <c r="B4090" s="1" t="str">
        <f>"20102134.2"</f>
        <v>20102134.2</v>
      </c>
      <c r="C4090" t="s">
        <v>4005</v>
      </c>
      <c r="D4090" t="s">
        <v>4066</v>
      </c>
      <c r="E4090" s="2"/>
      <c r="F4090" t="s">
        <v>4030</v>
      </c>
      <c r="G4090" t="s">
        <v>1368</v>
      </c>
      <c r="H4090" t="s">
        <v>383</v>
      </c>
      <c r="I4090"/>
    </row>
    <row r="4091" spans="1:9">
      <c r="A4091" t="s">
        <v>4015</v>
      </c>
      <c r="B4091" s="1" t="str">
        <f>"20264598"</f>
        <v>20264598</v>
      </c>
      <c r="C4091" t="s">
        <v>4005</v>
      </c>
      <c r="D4091" t="s">
        <v>4067</v>
      </c>
      <c r="E4091" s="2"/>
      <c r="F4091" t="s">
        <v>4021</v>
      </c>
      <c r="G4091" t="s">
        <v>4068</v>
      </c>
      <c r="H4091" t="s">
        <v>4068</v>
      </c>
      <c r="I4091"/>
    </row>
    <row r="4092" spans="1:9">
      <c r="A4092" t="s">
        <v>4015</v>
      </c>
      <c r="B4092" s="1" t="str">
        <f>"20264598.2"</f>
        <v>20264598.2</v>
      </c>
      <c r="C4092" t="s">
        <v>4005</v>
      </c>
      <c r="D4092" t="s">
        <v>4067</v>
      </c>
      <c r="E4092" s="2"/>
      <c r="F4092" t="s">
        <v>4021</v>
      </c>
      <c r="G4092" t="s">
        <v>4068</v>
      </c>
      <c r="H4092" t="s">
        <v>2539</v>
      </c>
      <c r="I4092"/>
    </row>
    <row r="4093" spans="1:9">
      <c r="A4093" t="s">
        <v>4069</v>
      </c>
      <c r="B4093" s="1" t="str">
        <f>"20190090"</f>
        <v>20190090</v>
      </c>
      <c r="C4093" t="s">
        <v>2481</v>
      </c>
      <c r="D4093" t="s">
        <v>4070</v>
      </c>
      <c r="E4093" s="2"/>
      <c r="F4093" t="s">
        <v>4071</v>
      </c>
      <c r="G4093"/>
      <c r="H4093" t="s">
        <v>4072</v>
      </c>
      <c r="I4093"/>
    </row>
    <row r="4094" spans="1:9">
      <c r="A4094" t="s">
        <v>4073</v>
      </c>
      <c r="B4094" s="1" t="str">
        <f>"24688754"</f>
        <v>24688754</v>
      </c>
      <c r="C4094" t="s">
        <v>1598</v>
      </c>
      <c r="D4094" t="s">
        <v>4074</v>
      </c>
      <c r="E4094" s="2"/>
      <c r="F4094" t="s">
        <v>129</v>
      </c>
      <c r="G4094" t="s">
        <v>25</v>
      </c>
      <c r="H4094" t="s">
        <v>25</v>
      </c>
      <c r="I4094"/>
    </row>
    <row r="4095" spans="1:9">
      <c r="A4095" t="s">
        <v>4073</v>
      </c>
      <c r="B4095" s="1" t="str">
        <f>"24688754.2"</f>
        <v>24688754.2</v>
      </c>
      <c r="C4095" t="s">
        <v>1598</v>
      </c>
      <c r="D4095" t="s">
        <v>4074</v>
      </c>
      <c r="E4095" s="2"/>
      <c r="F4095" t="s">
        <v>129</v>
      </c>
      <c r="G4095" t="s">
        <v>25</v>
      </c>
      <c r="H4095" t="s">
        <v>332</v>
      </c>
      <c r="I4095"/>
    </row>
    <row r="4096" spans="1:9">
      <c r="A4096" t="s">
        <v>4073</v>
      </c>
      <c r="B4096" s="1" t="str">
        <f>"20525487"</f>
        <v>20525487</v>
      </c>
      <c r="C4096" t="s">
        <v>1598</v>
      </c>
      <c r="D4096" t="s">
        <v>4075</v>
      </c>
      <c r="E4096" s="2"/>
      <c r="F4096" t="s">
        <v>27</v>
      </c>
      <c r="G4096" t="s">
        <v>25</v>
      </c>
      <c r="H4096" t="s">
        <v>25</v>
      </c>
      <c r="I4096"/>
    </row>
    <row r="4097" spans="1:9">
      <c r="A4097" t="s">
        <v>4073</v>
      </c>
      <c r="B4097" s="1" t="str">
        <f>"20525487.2"</f>
        <v>20525487.2</v>
      </c>
      <c r="C4097" t="s">
        <v>1598</v>
      </c>
      <c r="D4097" t="s">
        <v>4075</v>
      </c>
      <c r="E4097" s="2"/>
      <c r="F4097" t="s">
        <v>27</v>
      </c>
      <c r="G4097" t="s">
        <v>25</v>
      </c>
      <c r="H4097" t="s">
        <v>332</v>
      </c>
      <c r="I4097"/>
    </row>
    <row r="4098" spans="1:9">
      <c r="A4098" t="s">
        <v>4073</v>
      </c>
      <c r="B4098" s="1" t="str">
        <f>"20525492"</f>
        <v>20525492</v>
      </c>
      <c r="C4098" t="s">
        <v>1598</v>
      </c>
      <c r="D4098" t="s">
        <v>4076</v>
      </c>
      <c r="E4098" s="2"/>
      <c r="F4098" t="s">
        <v>206</v>
      </c>
      <c r="G4098" t="s">
        <v>25</v>
      </c>
      <c r="H4098" t="s">
        <v>25</v>
      </c>
      <c r="I4098"/>
    </row>
    <row r="4099" spans="1:9">
      <c r="A4099" t="s">
        <v>4073</v>
      </c>
      <c r="B4099" s="1" t="str">
        <f>"20525492.2"</f>
        <v>20525492.2</v>
      </c>
      <c r="C4099" t="s">
        <v>1598</v>
      </c>
      <c r="D4099" t="s">
        <v>4076</v>
      </c>
      <c r="E4099" s="2"/>
      <c r="F4099" t="s">
        <v>206</v>
      </c>
      <c r="G4099" t="s">
        <v>25</v>
      </c>
      <c r="H4099" t="s">
        <v>332</v>
      </c>
      <c r="I4099"/>
    </row>
    <row r="4100" spans="1:9">
      <c r="A4100" t="s">
        <v>4073</v>
      </c>
      <c r="B4100" s="1" t="str">
        <f>"23913648"</f>
        <v>23913648</v>
      </c>
      <c r="C4100" t="s">
        <v>1598</v>
      </c>
      <c r="D4100" t="s">
        <v>4077</v>
      </c>
      <c r="E4100" s="2"/>
      <c r="F4100" t="s">
        <v>206</v>
      </c>
      <c r="G4100" t="s">
        <v>25</v>
      </c>
      <c r="H4100" t="s">
        <v>25</v>
      </c>
      <c r="I4100"/>
    </row>
    <row r="4101" spans="1:9">
      <c r="A4101" t="s">
        <v>4073</v>
      </c>
      <c r="B4101" s="1" t="str">
        <f>"23913648.2"</f>
        <v>23913648.2</v>
      </c>
      <c r="C4101" t="s">
        <v>1598</v>
      </c>
      <c r="D4101" t="s">
        <v>4077</v>
      </c>
      <c r="E4101" s="2"/>
      <c r="F4101" t="s">
        <v>206</v>
      </c>
      <c r="G4101" t="s">
        <v>25</v>
      </c>
      <c r="H4101" t="s">
        <v>332</v>
      </c>
      <c r="I4101"/>
    </row>
    <row r="4102" spans="1:9">
      <c r="A4102" t="s">
        <v>4073</v>
      </c>
      <c r="B4102" s="1" t="str">
        <f>"20064976"</f>
        <v>20064976</v>
      </c>
      <c r="C4102" t="s">
        <v>4078</v>
      </c>
      <c r="D4102" t="s">
        <v>4079</v>
      </c>
      <c r="E4102" s="2"/>
      <c r="F4102" t="s">
        <v>336</v>
      </c>
      <c r="G4102" t="s">
        <v>25</v>
      </c>
      <c r="H4102" t="s">
        <v>25</v>
      </c>
      <c r="I4102"/>
    </row>
    <row r="4103" spans="1:9">
      <c r="A4103" t="s">
        <v>4073</v>
      </c>
      <c r="B4103" s="1" t="str">
        <f>"20064976.2"</f>
        <v>20064976.2</v>
      </c>
      <c r="C4103" t="s">
        <v>4078</v>
      </c>
      <c r="D4103" t="s">
        <v>4079</v>
      </c>
      <c r="E4103" s="2"/>
      <c r="F4103" t="s">
        <v>336</v>
      </c>
      <c r="G4103" t="s">
        <v>25</v>
      </c>
      <c r="H4103" t="s">
        <v>332</v>
      </c>
      <c r="I4103"/>
    </row>
    <row r="4104" spans="1:9">
      <c r="A4104" t="s">
        <v>4073</v>
      </c>
      <c r="B4104" s="1" t="str">
        <f>"20088613"</f>
        <v>20088613</v>
      </c>
      <c r="C4104" t="s">
        <v>4078</v>
      </c>
      <c r="D4104" t="s">
        <v>4080</v>
      </c>
      <c r="E4104" s="2"/>
      <c r="F4104" t="s">
        <v>79</v>
      </c>
      <c r="G4104" t="s">
        <v>4052</v>
      </c>
      <c r="H4104" t="s">
        <v>4052</v>
      </c>
      <c r="I4104"/>
    </row>
    <row r="4105" spans="1:9">
      <c r="A4105" t="s">
        <v>4073</v>
      </c>
      <c r="B4105" s="1" t="str">
        <f>"20088613.2"</f>
        <v>20088613.2</v>
      </c>
      <c r="C4105" t="s">
        <v>4078</v>
      </c>
      <c r="D4105" t="s">
        <v>4080</v>
      </c>
      <c r="E4105" s="2"/>
      <c r="F4105" t="s">
        <v>79</v>
      </c>
      <c r="G4105" t="s">
        <v>4052</v>
      </c>
      <c r="H4105" t="s">
        <v>2539</v>
      </c>
      <c r="I4105"/>
    </row>
    <row r="4106" spans="1:9">
      <c r="A4106" t="s">
        <v>4073</v>
      </c>
      <c r="B4106" s="1" t="str">
        <f>"20016552"</f>
        <v>20016552</v>
      </c>
      <c r="C4106" t="s">
        <v>4078</v>
      </c>
      <c r="D4106" t="s">
        <v>4081</v>
      </c>
      <c r="E4106" s="2"/>
      <c r="F4106" t="s">
        <v>129</v>
      </c>
      <c r="G4106" t="s">
        <v>25</v>
      </c>
      <c r="H4106" t="s">
        <v>25</v>
      </c>
      <c r="I4106"/>
    </row>
    <row r="4107" spans="1:9">
      <c r="A4107" t="s">
        <v>4073</v>
      </c>
      <c r="B4107" s="1" t="str">
        <f>"20524007"</f>
        <v>20524007</v>
      </c>
      <c r="C4107" t="s">
        <v>4078</v>
      </c>
      <c r="D4107" t="s">
        <v>4082</v>
      </c>
      <c r="E4107" s="2"/>
      <c r="F4107" t="s">
        <v>129</v>
      </c>
      <c r="G4107" t="s">
        <v>25</v>
      </c>
      <c r="H4107" t="s">
        <v>25</v>
      </c>
      <c r="I4107"/>
    </row>
    <row r="4108" spans="1:9">
      <c r="A4108" t="s">
        <v>4073</v>
      </c>
      <c r="B4108" s="1" t="str">
        <f>"20524007.2"</f>
        <v>20524007.2</v>
      </c>
      <c r="C4108" t="s">
        <v>4078</v>
      </c>
      <c r="D4108" t="s">
        <v>4082</v>
      </c>
      <c r="E4108" s="2"/>
      <c r="F4108" t="s">
        <v>129</v>
      </c>
      <c r="G4108" t="s">
        <v>25</v>
      </c>
      <c r="H4108" t="s">
        <v>332</v>
      </c>
      <c r="I4108"/>
    </row>
    <row r="4109" spans="1:9">
      <c r="A4109" t="s">
        <v>4073</v>
      </c>
      <c r="B4109" s="1" t="str">
        <f>"20524006"</f>
        <v>20524006</v>
      </c>
      <c r="C4109" t="s">
        <v>4078</v>
      </c>
      <c r="D4109" t="s">
        <v>4083</v>
      </c>
      <c r="E4109" s="2"/>
      <c r="F4109" t="s">
        <v>129</v>
      </c>
      <c r="G4109" t="s">
        <v>25</v>
      </c>
      <c r="H4109" t="s">
        <v>25</v>
      </c>
      <c r="I4109"/>
    </row>
    <row r="4110" spans="1:9">
      <c r="A4110" t="s">
        <v>4073</v>
      </c>
      <c r="B4110" s="1" t="str">
        <f>"20524006.2"</f>
        <v>20524006.2</v>
      </c>
      <c r="C4110" t="s">
        <v>4078</v>
      </c>
      <c r="D4110" t="s">
        <v>4083</v>
      </c>
      <c r="E4110" s="2"/>
      <c r="F4110" t="s">
        <v>129</v>
      </c>
      <c r="G4110" t="s">
        <v>25</v>
      </c>
      <c r="H4110" t="s">
        <v>332</v>
      </c>
      <c r="I4110"/>
    </row>
    <row r="4111" spans="1:9">
      <c r="A4111" t="s">
        <v>4084</v>
      </c>
      <c r="B4111" s="1" t="str">
        <f>"24000016"</f>
        <v>24000016</v>
      </c>
      <c r="C4111" t="s">
        <v>2481</v>
      </c>
      <c r="D4111" t="s">
        <v>4085</v>
      </c>
      <c r="E4111" s="2"/>
      <c r="F4111" t="s">
        <v>4023</v>
      </c>
      <c r="G4111" t="s">
        <v>4024</v>
      </c>
      <c r="H4111" t="s">
        <v>4024</v>
      </c>
      <c r="I4111"/>
    </row>
    <row r="4112" spans="1:9">
      <c r="A4112" t="s">
        <v>4084</v>
      </c>
      <c r="B4112" s="1" t="str">
        <f>"20015685"</f>
        <v>20015685</v>
      </c>
      <c r="C4112" t="s">
        <v>2481</v>
      </c>
      <c r="D4112" t="s">
        <v>4086</v>
      </c>
      <c r="E4112" s="2"/>
      <c r="F4112" t="s">
        <v>1501</v>
      </c>
      <c r="G4112" t="s">
        <v>4052</v>
      </c>
      <c r="H4112" t="s">
        <v>4052</v>
      </c>
      <c r="I4112"/>
    </row>
    <row r="4113" spans="1:9">
      <c r="A4113" t="s">
        <v>4084</v>
      </c>
      <c r="B4113" s="1" t="str">
        <f>"23913662"</f>
        <v>23913662</v>
      </c>
      <c r="C4113" t="s">
        <v>1598</v>
      </c>
      <c r="D4113" t="s">
        <v>4087</v>
      </c>
      <c r="E4113" s="2"/>
      <c r="F4113" t="s">
        <v>206</v>
      </c>
      <c r="G4113" t="s">
        <v>25</v>
      </c>
      <c r="H4113" t="s">
        <v>25</v>
      </c>
      <c r="I4113"/>
    </row>
    <row r="4114" spans="1:9">
      <c r="A4114" t="s">
        <v>4084</v>
      </c>
      <c r="B4114" s="1" t="str">
        <f>"23913686"</f>
        <v>23913686</v>
      </c>
      <c r="C4114" t="s">
        <v>1598</v>
      </c>
      <c r="D4114" t="s">
        <v>4088</v>
      </c>
      <c r="E4114" s="2"/>
      <c r="F4114" t="s">
        <v>4023</v>
      </c>
      <c r="G4114" t="s">
        <v>4024</v>
      </c>
      <c r="H4114" t="s">
        <v>4024</v>
      </c>
      <c r="I4114"/>
    </row>
    <row r="4115" spans="1:9">
      <c r="A4115" t="s">
        <v>4084</v>
      </c>
      <c r="B4115" s="1" t="str">
        <f>"20525485"</f>
        <v>20525485</v>
      </c>
      <c r="C4115" t="s">
        <v>1598</v>
      </c>
      <c r="D4115" t="s">
        <v>4089</v>
      </c>
      <c r="E4115" s="2"/>
      <c r="F4115" t="s">
        <v>191</v>
      </c>
      <c r="G4115" t="s">
        <v>25</v>
      </c>
      <c r="H4115" t="s">
        <v>25</v>
      </c>
      <c r="I4115"/>
    </row>
    <row r="4116" spans="1:9">
      <c r="A4116" t="s">
        <v>4084</v>
      </c>
      <c r="B4116" s="1" t="str">
        <f>"20525485.2"</f>
        <v>20525485.2</v>
      </c>
      <c r="C4116" t="s">
        <v>1598</v>
      </c>
      <c r="D4116" t="s">
        <v>4089</v>
      </c>
      <c r="E4116" s="2"/>
      <c r="F4116" t="s">
        <v>191</v>
      </c>
      <c r="G4116" t="s">
        <v>25</v>
      </c>
      <c r="H4116" t="s">
        <v>332</v>
      </c>
      <c r="I4116"/>
    </row>
    <row r="4117" spans="1:9">
      <c r="A4117" t="s">
        <v>4084</v>
      </c>
      <c r="B4117" s="1" t="str">
        <f>"20524005"</f>
        <v>20524005</v>
      </c>
      <c r="C4117" t="s">
        <v>4078</v>
      </c>
      <c r="D4117" t="s">
        <v>4090</v>
      </c>
      <c r="E4117" s="2"/>
      <c r="F4117" t="s">
        <v>336</v>
      </c>
      <c r="G4117" t="s">
        <v>25</v>
      </c>
      <c r="H4117" t="s">
        <v>25</v>
      </c>
      <c r="I4117"/>
    </row>
    <row r="4118" spans="1:9">
      <c r="A4118" t="s">
        <v>4084</v>
      </c>
      <c r="B4118" s="1" t="str">
        <f>"20524005.2"</f>
        <v>20524005.2</v>
      </c>
      <c r="C4118" t="s">
        <v>4078</v>
      </c>
      <c r="D4118" t="s">
        <v>4090</v>
      </c>
      <c r="E4118" s="2"/>
      <c r="F4118" t="s">
        <v>336</v>
      </c>
      <c r="G4118" t="s">
        <v>25</v>
      </c>
      <c r="H4118" t="s">
        <v>332</v>
      </c>
      <c r="I4118"/>
    </row>
    <row r="4119" spans="1:9">
      <c r="A4119" t="s">
        <v>4084</v>
      </c>
      <c r="B4119" s="1" t="str">
        <f>"20016551"</f>
        <v>20016551</v>
      </c>
      <c r="C4119" t="s">
        <v>4078</v>
      </c>
      <c r="D4119" t="s">
        <v>4091</v>
      </c>
      <c r="E4119" s="2"/>
      <c r="F4119" t="s">
        <v>129</v>
      </c>
      <c r="G4119" t="s">
        <v>25</v>
      </c>
      <c r="H4119" t="s">
        <v>25</v>
      </c>
      <c r="I4119"/>
    </row>
    <row r="4120" spans="1:9">
      <c r="A4120" t="s">
        <v>4084</v>
      </c>
      <c r="B4120" s="1" t="str">
        <f>"20016551.2"</f>
        <v>20016551.2</v>
      </c>
      <c r="C4120" t="s">
        <v>4078</v>
      </c>
      <c r="D4120" t="s">
        <v>4091</v>
      </c>
      <c r="E4120" s="2"/>
      <c r="F4120" t="s">
        <v>129</v>
      </c>
      <c r="G4120" t="s">
        <v>25</v>
      </c>
      <c r="H4120" t="s">
        <v>332</v>
      </c>
      <c r="I4120"/>
    </row>
    <row r="4121" spans="1:9">
      <c r="A4121" t="s">
        <v>4084</v>
      </c>
      <c r="B4121" s="1" t="str">
        <f>"20167868"</f>
        <v>20167868</v>
      </c>
      <c r="C4121" t="s">
        <v>4078</v>
      </c>
      <c r="D4121" t="s">
        <v>4092</v>
      </c>
      <c r="E4121" s="2"/>
      <c r="F4121" t="s">
        <v>206</v>
      </c>
      <c r="G4121" t="s">
        <v>25</v>
      </c>
      <c r="H4121" t="s">
        <v>25</v>
      </c>
      <c r="I4121"/>
    </row>
    <row r="4122" spans="1:9">
      <c r="A4122" t="s">
        <v>4084</v>
      </c>
      <c r="B4122" s="1" t="str">
        <f>"20167868.2"</f>
        <v>20167868.2</v>
      </c>
      <c r="C4122" t="s">
        <v>4078</v>
      </c>
      <c r="D4122" t="s">
        <v>4092</v>
      </c>
      <c r="E4122" s="2"/>
      <c r="F4122" t="s">
        <v>206</v>
      </c>
      <c r="G4122" t="s">
        <v>25</v>
      </c>
      <c r="H4122" t="s">
        <v>332</v>
      </c>
      <c r="I4122"/>
    </row>
    <row r="4123" spans="1:9">
      <c r="A4123" t="s">
        <v>4084</v>
      </c>
      <c r="B4123" s="1" t="str">
        <f>"20226251"</f>
        <v>20226251</v>
      </c>
      <c r="C4123" t="s">
        <v>4078</v>
      </c>
      <c r="D4123" t="s">
        <v>4093</v>
      </c>
      <c r="E4123" s="2"/>
      <c r="F4123" t="s">
        <v>4023</v>
      </c>
      <c r="G4123" t="s">
        <v>4024</v>
      </c>
      <c r="H4123" t="s">
        <v>4024</v>
      </c>
      <c r="I4123"/>
    </row>
    <row r="4124" spans="1:9">
      <c r="A4124" t="s">
        <v>4084</v>
      </c>
      <c r="B4124" s="1" t="str">
        <f>"20226251.2"</f>
        <v>20226251.2</v>
      </c>
      <c r="C4124" t="s">
        <v>4078</v>
      </c>
      <c r="D4124" t="s">
        <v>4093</v>
      </c>
      <c r="E4124" s="2"/>
      <c r="F4124" t="s">
        <v>4023</v>
      </c>
      <c r="G4124" t="s">
        <v>4024</v>
      </c>
      <c r="H4124" t="s">
        <v>1453</v>
      </c>
      <c r="I4124"/>
    </row>
    <row r="4125" spans="1:9">
      <c r="A4125" t="s">
        <v>4084</v>
      </c>
      <c r="B4125" s="1" t="str">
        <f>"20016547"</f>
        <v>20016547</v>
      </c>
      <c r="C4125" t="s">
        <v>4078</v>
      </c>
      <c r="D4125" t="s">
        <v>4086</v>
      </c>
      <c r="E4125" s="2"/>
      <c r="F4125" t="s">
        <v>206</v>
      </c>
      <c r="G4125" t="s">
        <v>122</v>
      </c>
      <c r="H4125" t="s">
        <v>122</v>
      </c>
      <c r="I4125"/>
    </row>
    <row r="4126" spans="1:9">
      <c r="A4126" t="s">
        <v>4084</v>
      </c>
      <c r="B4126" s="1" t="str">
        <f>"20016547.2"</f>
        <v>20016547.2</v>
      </c>
      <c r="C4126" t="s">
        <v>4078</v>
      </c>
      <c r="D4126" t="s">
        <v>4086</v>
      </c>
      <c r="E4126" s="2"/>
      <c r="F4126" t="s">
        <v>206</v>
      </c>
      <c r="G4126" t="s">
        <v>122</v>
      </c>
      <c r="H4126" t="s">
        <v>383</v>
      </c>
      <c r="I4126"/>
    </row>
    <row r="4127" spans="1:9">
      <c r="A4127" t="s">
        <v>4084</v>
      </c>
      <c r="B4127" s="1" t="str">
        <f>"20088569"</f>
        <v>20088569</v>
      </c>
      <c r="C4127" t="s">
        <v>4078</v>
      </c>
      <c r="D4127" t="s">
        <v>4049</v>
      </c>
      <c r="E4127" s="2"/>
      <c r="F4127" t="s">
        <v>4021</v>
      </c>
      <c r="G4127" t="s">
        <v>122</v>
      </c>
      <c r="H4127" t="s">
        <v>122</v>
      </c>
      <c r="I4127"/>
    </row>
    <row r="4128" spans="1:9">
      <c r="A4128" t="s">
        <v>4084</v>
      </c>
      <c r="B4128" s="1" t="str">
        <f>"20088644"</f>
        <v>20088644</v>
      </c>
      <c r="C4128" t="s">
        <v>4078</v>
      </c>
      <c r="D4128" t="s">
        <v>4049</v>
      </c>
      <c r="E4128" s="2"/>
      <c r="F4128" t="s">
        <v>1501</v>
      </c>
      <c r="G4128" t="s">
        <v>122</v>
      </c>
      <c r="H4128" t="s">
        <v>122</v>
      </c>
      <c r="I4128"/>
    </row>
    <row r="4129" spans="1:9">
      <c r="A4129" t="s">
        <v>4084</v>
      </c>
      <c r="B4129" s="1" t="str">
        <f>"20088644.2"</f>
        <v>20088644.2</v>
      </c>
      <c r="C4129" t="s">
        <v>4078</v>
      </c>
      <c r="D4129" t="s">
        <v>4049</v>
      </c>
      <c r="E4129" s="2"/>
      <c r="F4129" t="s">
        <v>1501</v>
      </c>
      <c r="G4129" t="s">
        <v>122</v>
      </c>
      <c r="H4129" t="s">
        <v>383</v>
      </c>
      <c r="I4129"/>
    </row>
    <row r="4130" spans="1:9">
      <c r="A4130" t="s">
        <v>4084</v>
      </c>
      <c r="B4130" s="1" t="str">
        <f>"20016549"</f>
        <v>20016549</v>
      </c>
      <c r="C4130" t="s">
        <v>4078</v>
      </c>
      <c r="D4130" t="s">
        <v>4094</v>
      </c>
      <c r="E4130" s="2"/>
      <c r="F4130" t="s">
        <v>380</v>
      </c>
      <c r="G4130" t="s">
        <v>122</v>
      </c>
      <c r="H4130" t="s">
        <v>122</v>
      </c>
      <c r="I4130"/>
    </row>
    <row r="4131" spans="1:9">
      <c r="A4131" t="s">
        <v>4084</v>
      </c>
      <c r="B4131" s="1" t="str">
        <f>"20016549.2"</f>
        <v>20016549.2</v>
      </c>
      <c r="C4131" t="s">
        <v>4078</v>
      </c>
      <c r="D4131" t="s">
        <v>4094</v>
      </c>
      <c r="E4131" s="2"/>
      <c r="F4131" t="s">
        <v>380</v>
      </c>
      <c r="G4131" t="s">
        <v>122</v>
      </c>
      <c r="H4131" t="s">
        <v>383</v>
      </c>
      <c r="I4131"/>
    </row>
    <row r="4132" spans="1:9">
      <c r="A4132" t="s">
        <v>4084</v>
      </c>
      <c r="B4132" s="1" t="str">
        <f>"20215125"</f>
        <v>20215125</v>
      </c>
      <c r="C4132" t="s">
        <v>4078</v>
      </c>
      <c r="D4132" t="s">
        <v>4095</v>
      </c>
      <c r="E4132" s="2"/>
      <c r="F4132" t="s">
        <v>79</v>
      </c>
      <c r="G4132" t="s">
        <v>25</v>
      </c>
      <c r="H4132" t="s">
        <v>25</v>
      </c>
      <c r="I4132"/>
    </row>
    <row r="4133" spans="1:9">
      <c r="A4133" t="s">
        <v>4084</v>
      </c>
      <c r="B4133" s="1" t="str">
        <f>"20088570"</f>
        <v>20088570</v>
      </c>
      <c r="C4133" t="s">
        <v>4078</v>
      </c>
      <c r="D4133" t="s">
        <v>4096</v>
      </c>
      <c r="E4133" s="2"/>
      <c r="F4133" t="s">
        <v>4023</v>
      </c>
      <c r="G4133"/>
      <c r="H4133" t="s">
        <v>4024</v>
      </c>
      <c r="I4133"/>
    </row>
    <row r="4134" spans="1:9">
      <c r="A4134" t="s">
        <v>4084</v>
      </c>
      <c r="B4134" s="1" t="str">
        <f>"20088570.2"</f>
        <v>20088570.2</v>
      </c>
      <c r="C4134" t="s">
        <v>4078</v>
      </c>
      <c r="D4134" t="s">
        <v>4096</v>
      </c>
      <c r="E4134" s="2"/>
      <c r="F4134" t="s">
        <v>4023</v>
      </c>
      <c r="G4134"/>
      <c r="H4134" t="s">
        <v>1453</v>
      </c>
      <c r="I4134"/>
    </row>
    <row r="4135" spans="1:9">
      <c r="A4135" t="s">
        <v>4097</v>
      </c>
      <c r="B4135" s="1" t="str">
        <f>"24844110"</f>
        <v>24844110</v>
      </c>
      <c r="C4135" t="s">
        <v>4098</v>
      </c>
      <c r="D4135" t="s">
        <v>4099</v>
      </c>
      <c r="E4135" s="2"/>
      <c r="F4135"/>
      <c r="G4135" t="s">
        <v>287</v>
      </c>
      <c r="H4135" t="s">
        <v>287</v>
      </c>
      <c r="I4135"/>
    </row>
    <row r="4136" spans="1:9">
      <c r="A4136" t="s">
        <v>4097</v>
      </c>
      <c r="B4136" s="1" t="str">
        <f>"20190090"</f>
        <v>20190090</v>
      </c>
      <c r="C4136" t="s">
        <v>2481</v>
      </c>
      <c r="D4136" t="s">
        <v>4070</v>
      </c>
      <c r="E4136" s="2"/>
      <c r="F4136" t="s">
        <v>4071</v>
      </c>
      <c r="G4136"/>
      <c r="H4136" t="s">
        <v>4072</v>
      </c>
      <c r="I4136"/>
    </row>
    <row r="4137" spans="1:9">
      <c r="A4137" t="s">
        <v>4097</v>
      </c>
      <c r="B4137" s="1" t="str">
        <f>"20833466"</f>
        <v>20833466</v>
      </c>
      <c r="C4137" t="s">
        <v>2481</v>
      </c>
      <c r="D4137" t="s">
        <v>4100</v>
      </c>
      <c r="E4137" s="2"/>
      <c r="F4137"/>
      <c r="G4137" t="s">
        <v>19</v>
      </c>
      <c r="H4137" t="s">
        <v>19</v>
      </c>
      <c r="I4137"/>
    </row>
    <row r="4138" spans="1:9">
      <c r="A4138" t="s">
        <v>4097</v>
      </c>
      <c r="B4138" s="1" t="str">
        <f>"20560188"</f>
        <v>20560188</v>
      </c>
      <c r="C4138" t="s">
        <v>2481</v>
      </c>
      <c r="D4138" t="s">
        <v>4101</v>
      </c>
      <c r="E4138" s="2"/>
      <c r="F4138"/>
      <c r="G4138" t="s">
        <v>4102</v>
      </c>
      <c r="H4138" t="s">
        <v>4102</v>
      </c>
      <c r="I4138"/>
    </row>
    <row r="4139" spans="1:9">
      <c r="A4139" t="s">
        <v>4097</v>
      </c>
      <c r="B4139" s="1" t="str">
        <f>"20560164"</f>
        <v>20560164</v>
      </c>
      <c r="C4139" t="s">
        <v>2481</v>
      </c>
      <c r="D4139" t="s">
        <v>4103</v>
      </c>
      <c r="E4139" s="2"/>
      <c r="F4139"/>
      <c r="G4139" t="s">
        <v>4102</v>
      </c>
      <c r="H4139" t="s">
        <v>4102</v>
      </c>
      <c r="I4139"/>
    </row>
    <row r="4140" spans="1:9">
      <c r="A4140" t="s">
        <v>4097</v>
      </c>
      <c r="B4140" s="1" t="str">
        <f>"20560189"</f>
        <v>20560189</v>
      </c>
      <c r="C4140" t="s">
        <v>2481</v>
      </c>
      <c r="D4140" t="s">
        <v>4104</v>
      </c>
      <c r="E4140" s="2"/>
      <c r="F4140"/>
      <c r="G4140" t="s">
        <v>4102</v>
      </c>
      <c r="H4140" t="s">
        <v>4102</v>
      </c>
      <c r="I4140"/>
    </row>
    <row r="4141" spans="1:9">
      <c r="A4141" t="s">
        <v>4097</v>
      </c>
      <c r="B4141" s="1" t="str">
        <f>"20560133"</f>
        <v>20560133</v>
      </c>
      <c r="C4141" t="s">
        <v>225</v>
      </c>
      <c r="D4141" t="s">
        <v>4105</v>
      </c>
      <c r="E4141" s="2"/>
      <c r="F4141"/>
      <c r="G4141" t="s">
        <v>4102</v>
      </c>
      <c r="H4141" t="s">
        <v>4102</v>
      </c>
      <c r="I4141"/>
    </row>
    <row r="4142" spans="1:9">
      <c r="A4142" t="s">
        <v>4097</v>
      </c>
      <c r="B4142" s="1" t="str">
        <f>"22169057"</f>
        <v>22169057</v>
      </c>
      <c r="C4142" t="s">
        <v>1598</v>
      </c>
      <c r="D4142" t="s">
        <v>4106</v>
      </c>
      <c r="E4142" s="2"/>
      <c r="F4142"/>
      <c r="G4142"/>
      <c r="H4142" t="s">
        <v>19</v>
      </c>
      <c r="I4142"/>
    </row>
    <row r="4143" spans="1:9">
      <c r="A4143" t="s">
        <v>4097</v>
      </c>
      <c r="B4143" s="1" t="str">
        <f>"22169057.2"</f>
        <v>22169057.2</v>
      </c>
      <c r="C4143" t="s">
        <v>1598</v>
      </c>
      <c r="D4143" t="s">
        <v>4106</v>
      </c>
      <c r="E4143" s="2"/>
      <c r="F4143"/>
      <c r="G4143"/>
      <c r="H4143" t="s">
        <v>218</v>
      </c>
      <c r="I4143"/>
    </row>
    <row r="4144" spans="1:9">
      <c r="A4144" t="s">
        <v>4097</v>
      </c>
      <c r="B4144" s="1" t="str">
        <f>"22171375"</f>
        <v>22171375</v>
      </c>
      <c r="C4144" t="s">
        <v>1598</v>
      </c>
      <c r="D4144" t="s">
        <v>4107</v>
      </c>
      <c r="E4144" s="2"/>
      <c r="F4144"/>
      <c r="G4144" t="s">
        <v>19</v>
      </c>
      <c r="H4144" t="s">
        <v>19</v>
      </c>
      <c r="I4144"/>
    </row>
    <row r="4145" spans="1:9">
      <c r="A4145" t="s">
        <v>4097</v>
      </c>
      <c r="B4145" s="1" t="str">
        <f>"20525483"</f>
        <v>20525483</v>
      </c>
      <c r="C4145" t="s">
        <v>1598</v>
      </c>
      <c r="D4145" t="s">
        <v>4108</v>
      </c>
      <c r="E4145" s="2"/>
      <c r="F4145"/>
      <c r="G4145" t="s">
        <v>4102</v>
      </c>
      <c r="H4145" t="s">
        <v>4102</v>
      </c>
      <c r="I4145"/>
    </row>
    <row r="4146" spans="1:9">
      <c r="A4146" t="s">
        <v>4097</v>
      </c>
      <c r="B4146" s="1" t="str">
        <f>"20190056"</f>
        <v>20190056</v>
      </c>
      <c r="C4146" t="s">
        <v>4109</v>
      </c>
      <c r="D4146" t="s">
        <v>4110</v>
      </c>
      <c r="E4146" s="2"/>
      <c r="F4146"/>
      <c r="G4146" t="s">
        <v>517</v>
      </c>
      <c r="H4146" t="s">
        <v>517</v>
      </c>
      <c r="I4146"/>
    </row>
    <row r="4147" spans="1:9">
      <c r="A4147" t="s">
        <v>4097</v>
      </c>
      <c r="B4147" s="1" t="str">
        <f>"20215958"</f>
        <v>20215958</v>
      </c>
      <c r="C4147" t="s">
        <v>4109</v>
      </c>
      <c r="D4147" t="s">
        <v>4111</v>
      </c>
      <c r="E4147" s="2"/>
      <c r="F4147"/>
      <c r="G4147" t="s">
        <v>4102</v>
      </c>
      <c r="H4147" t="s">
        <v>4102</v>
      </c>
      <c r="I4147"/>
    </row>
    <row r="4148" spans="1:9">
      <c r="A4148" t="s">
        <v>4097</v>
      </c>
      <c r="B4148" s="1" t="str">
        <f>"24035930"</f>
        <v>24035930</v>
      </c>
      <c r="C4148" t="s">
        <v>4109</v>
      </c>
      <c r="D4148" t="s">
        <v>4112</v>
      </c>
      <c r="E4148" s="2"/>
      <c r="F4148"/>
      <c r="G4148" t="s">
        <v>218</v>
      </c>
      <c r="H4148" t="s">
        <v>218</v>
      </c>
      <c r="I4148"/>
    </row>
    <row r="4149" spans="1:9">
      <c r="A4149" t="s">
        <v>4097</v>
      </c>
      <c r="B4149" s="1" t="str">
        <f>"20288983"</f>
        <v>20288983</v>
      </c>
      <c r="C4149" t="s">
        <v>4109</v>
      </c>
      <c r="D4149" t="s">
        <v>4113</v>
      </c>
      <c r="E4149" s="2"/>
      <c r="F4149"/>
      <c r="G4149" t="s">
        <v>287</v>
      </c>
      <c r="H4149" t="s">
        <v>4102</v>
      </c>
      <c r="I4149"/>
    </row>
    <row r="4150" spans="1:9">
      <c r="A4150" t="s">
        <v>4097</v>
      </c>
      <c r="B4150" s="1" t="str">
        <f>"24035947"</f>
        <v>24035947</v>
      </c>
      <c r="C4150" t="s">
        <v>4109</v>
      </c>
      <c r="D4150" t="s">
        <v>4114</v>
      </c>
      <c r="E4150" s="2"/>
      <c r="F4150"/>
      <c r="G4150" t="s">
        <v>218</v>
      </c>
      <c r="H4150" t="s">
        <v>218</v>
      </c>
      <c r="I4150"/>
    </row>
    <row r="4151" spans="1:9">
      <c r="A4151" t="s">
        <v>4097</v>
      </c>
      <c r="B4151" s="1" t="str">
        <f>"20289072"</f>
        <v>20289072</v>
      </c>
      <c r="C4151" t="s">
        <v>4109</v>
      </c>
      <c r="D4151" t="s">
        <v>4115</v>
      </c>
      <c r="E4151" s="2"/>
      <c r="F4151"/>
      <c r="G4151" t="s">
        <v>287</v>
      </c>
      <c r="H4151" t="s">
        <v>287</v>
      </c>
      <c r="I4151"/>
    </row>
    <row r="4152" spans="1:9">
      <c r="A4152" t="s">
        <v>4097</v>
      </c>
      <c r="B4152" s="1" t="str">
        <f>"24035961"</f>
        <v>24035961</v>
      </c>
      <c r="C4152" t="s">
        <v>4109</v>
      </c>
      <c r="D4152" t="s">
        <v>4116</v>
      </c>
      <c r="E4152" s="2"/>
      <c r="F4152"/>
      <c r="G4152" t="s">
        <v>4117</v>
      </c>
      <c r="H4152" t="s">
        <v>517</v>
      </c>
      <c r="I4152"/>
    </row>
    <row r="4153" spans="1:9">
      <c r="A4153" t="s">
        <v>4097</v>
      </c>
      <c r="B4153" s="1" t="str">
        <f>"26165001"</f>
        <v>26165001</v>
      </c>
      <c r="C4153" t="s">
        <v>4109</v>
      </c>
      <c r="D4153" t="s">
        <v>4118</v>
      </c>
      <c r="E4153" s="2"/>
      <c r="F4153"/>
      <c r="G4153" t="s">
        <v>4119</v>
      </c>
      <c r="H4153" t="s">
        <v>218</v>
      </c>
      <c r="I4153"/>
    </row>
    <row r="4154" spans="1:9">
      <c r="A4154" t="s">
        <v>4097</v>
      </c>
      <c r="B4154" s="1" t="str">
        <f>"26005009"</f>
        <v>26005009</v>
      </c>
      <c r="C4154" t="s">
        <v>4109</v>
      </c>
      <c r="D4154" t="s">
        <v>4120</v>
      </c>
      <c r="E4154" s="2"/>
      <c r="F4154"/>
      <c r="G4154" t="s">
        <v>997</v>
      </c>
      <c r="H4154" t="s">
        <v>997</v>
      </c>
      <c r="I4154"/>
    </row>
    <row r="4155" spans="1:9">
      <c r="A4155" t="s">
        <v>4097</v>
      </c>
      <c r="B4155" s="1" t="str">
        <f>"20828493"</f>
        <v>20828493</v>
      </c>
      <c r="C4155" t="s">
        <v>4109</v>
      </c>
      <c r="D4155" t="s">
        <v>4121</v>
      </c>
      <c r="E4155" s="2"/>
      <c r="F4155"/>
      <c r="G4155" t="s">
        <v>287</v>
      </c>
      <c r="H4155" t="s">
        <v>287</v>
      </c>
      <c r="I4155"/>
    </row>
    <row r="4156" spans="1:9">
      <c r="A4156" t="s">
        <v>4097</v>
      </c>
      <c r="B4156" s="1" t="str">
        <f>"26049009"</f>
        <v>26049009</v>
      </c>
      <c r="C4156" t="s">
        <v>4109</v>
      </c>
      <c r="D4156" t="s">
        <v>4122</v>
      </c>
      <c r="E4156" s="2"/>
      <c r="F4156"/>
      <c r="G4156" t="s">
        <v>287</v>
      </c>
      <c r="H4156" t="s">
        <v>287</v>
      </c>
      <c r="I4156"/>
    </row>
    <row r="4157" spans="1:9">
      <c r="A4157" t="s">
        <v>4123</v>
      </c>
      <c r="B4157" s="1" t="str">
        <f>"20059645"</f>
        <v>20059645</v>
      </c>
      <c r="C4157" t="s">
        <v>4124</v>
      </c>
      <c r="D4157" t="s">
        <v>4125</v>
      </c>
      <c r="E4157" s="2"/>
      <c r="F4157"/>
      <c r="G4157" t="s">
        <v>299</v>
      </c>
      <c r="H4157" t="s">
        <v>287</v>
      </c>
      <c r="I4157"/>
    </row>
    <row r="4158" spans="1:9">
      <c r="A4158" t="s">
        <v>4123</v>
      </c>
      <c r="B4158" s="1" t="str">
        <f>"20055462"</f>
        <v>20055462</v>
      </c>
      <c r="C4158" t="s">
        <v>4126</v>
      </c>
      <c r="D4158" t="s">
        <v>4127</v>
      </c>
      <c r="E4158" s="2"/>
      <c r="F4158"/>
      <c r="G4158" t="s">
        <v>262</v>
      </c>
      <c r="H4158" t="s">
        <v>533</v>
      </c>
      <c r="I4158"/>
    </row>
    <row r="4159" spans="1:9">
      <c r="A4159" t="s">
        <v>4123</v>
      </c>
      <c r="B4159" s="1" t="str">
        <f>"20058753.2"</f>
        <v>20058753.2</v>
      </c>
      <c r="C4159" t="s">
        <v>4126</v>
      </c>
      <c r="D4159" t="s">
        <v>4128</v>
      </c>
      <c r="E4159" s="2"/>
      <c r="F4159"/>
      <c r="G4159" t="s">
        <v>232</v>
      </c>
      <c r="H4159" t="s">
        <v>218</v>
      </c>
      <c r="I4159"/>
    </row>
    <row r="4160" spans="1:9">
      <c r="A4160" t="s">
        <v>4123</v>
      </c>
      <c r="B4160" s="1" t="str">
        <f>"20058753"</f>
        <v>20058753</v>
      </c>
      <c r="C4160" t="s">
        <v>4126</v>
      </c>
      <c r="D4160" t="s">
        <v>4129</v>
      </c>
      <c r="E4160" s="2"/>
      <c r="F4160"/>
      <c r="G4160" t="s">
        <v>232</v>
      </c>
      <c r="H4160" t="s">
        <v>232</v>
      </c>
      <c r="I4160"/>
    </row>
    <row r="4161" spans="1:9">
      <c r="A4161" t="s">
        <v>4123</v>
      </c>
      <c r="B4161" s="1" t="str">
        <f>"20162955"</f>
        <v>20162955</v>
      </c>
      <c r="C4161" t="s">
        <v>4126</v>
      </c>
      <c r="D4161" t="s">
        <v>4130</v>
      </c>
      <c r="E4161" s="2"/>
      <c r="F4161"/>
      <c r="G4161" t="s">
        <v>262</v>
      </c>
      <c r="H4161" t="s">
        <v>262</v>
      </c>
      <c r="I4161"/>
    </row>
    <row r="4162" spans="1:9">
      <c r="A4162" t="s">
        <v>4123</v>
      </c>
      <c r="B4162" s="1" t="str">
        <f>"20094881"</f>
        <v>20094881</v>
      </c>
      <c r="C4162" t="s">
        <v>4131</v>
      </c>
      <c r="D4162" t="s">
        <v>4132</v>
      </c>
      <c r="E4162" s="2"/>
      <c r="F4162"/>
      <c r="G4162" t="s">
        <v>296</v>
      </c>
      <c r="H4162" t="s">
        <v>296</v>
      </c>
      <c r="I4162"/>
    </row>
    <row r="4163" spans="1:9">
      <c r="A4163" t="s">
        <v>4123</v>
      </c>
      <c r="B4163" s="1" t="str">
        <f>"20094881.2"</f>
        <v>20094881.2</v>
      </c>
      <c r="C4163" t="s">
        <v>4131</v>
      </c>
      <c r="D4163" t="s">
        <v>4132</v>
      </c>
      <c r="E4163" s="2"/>
      <c r="F4163"/>
      <c r="G4163" t="s">
        <v>296</v>
      </c>
      <c r="H4163" t="s">
        <v>517</v>
      </c>
      <c r="I4163"/>
    </row>
    <row r="4164" spans="1:9">
      <c r="A4164" t="s">
        <v>4123</v>
      </c>
      <c r="B4164" s="1" t="str">
        <f>"20073251"</f>
        <v>20073251</v>
      </c>
      <c r="C4164" t="s">
        <v>4131</v>
      </c>
      <c r="D4164" t="s">
        <v>4133</v>
      </c>
      <c r="E4164" s="2"/>
      <c r="F4164"/>
      <c r="G4164" t="s">
        <v>75</v>
      </c>
      <c r="H4164" t="s">
        <v>75</v>
      </c>
      <c r="I4164"/>
    </row>
    <row r="4165" spans="1:9">
      <c r="A4165" t="s">
        <v>4123</v>
      </c>
      <c r="B4165" s="1" t="str">
        <f>"20073251.2"</f>
        <v>20073251.2</v>
      </c>
      <c r="C4165" t="s">
        <v>4131</v>
      </c>
      <c r="D4165" t="s">
        <v>4133</v>
      </c>
      <c r="E4165" s="2"/>
      <c r="F4165"/>
      <c r="G4165" t="s">
        <v>75</v>
      </c>
      <c r="H4165" t="s">
        <v>218</v>
      </c>
      <c r="I4165"/>
    </row>
    <row r="4166" spans="1:9">
      <c r="A4166" t="s">
        <v>4123</v>
      </c>
      <c r="B4166" s="1" t="str">
        <f>"20631178"</f>
        <v>20631178</v>
      </c>
      <c r="C4166" t="s">
        <v>4134</v>
      </c>
      <c r="D4166" t="s">
        <v>4135</v>
      </c>
      <c r="E4166" s="2"/>
      <c r="F4166"/>
      <c r="G4166" t="s">
        <v>296</v>
      </c>
      <c r="H4166" t="s">
        <v>296</v>
      </c>
      <c r="I4166"/>
    </row>
    <row r="4167" spans="1:9">
      <c r="A4167" t="s">
        <v>4123</v>
      </c>
      <c r="B4167" s="1" t="str">
        <f>"20291341"</f>
        <v>20291341</v>
      </c>
      <c r="C4167" t="s">
        <v>4136</v>
      </c>
      <c r="D4167" t="s">
        <v>4137</v>
      </c>
      <c r="E4167" s="2"/>
      <c r="F4167"/>
      <c r="G4167" t="s">
        <v>80</v>
      </c>
      <c r="H4167" t="s">
        <v>80</v>
      </c>
      <c r="I4167"/>
    </row>
    <row r="4168" spans="1:9">
      <c r="A4168" t="s">
        <v>4123</v>
      </c>
      <c r="B4168" s="1" t="str">
        <f>"20016482"</f>
        <v>20016482</v>
      </c>
      <c r="C4168" t="s">
        <v>2481</v>
      </c>
      <c r="D4168" t="s">
        <v>4138</v>
      </c>
      <c r="E4168" s="2"/>
      <c r="F4168"/>
      <c r="G4168" t="s">
        <v>80</v>
      </c>
      <c r="H4168" t="s">
        <v>80</v>
      </c>
      <c r="I4168"/>
    </row>
    <row r="4169" spans="1:9">
      <c r="A4169" t="s">
        <v>4123</v>
      </c>
      <c r="B4169" s="1" t="str">
        <f>"20016473"</f>
        <v>20016473</v>
      </c>
      <c r="C4169" t="s">
        <v>2481</v>
      </c>
      <c r="D4169" t="s">
        <v>4139</v>
      </c>
      <c r="E4169" s="2"/>
      <c r="F4169"/>
      <c r="G4169" t="s">
        <v>80</v>
      </c>
      <c r="H4169" t="s">
        <v>80</v>
      </c>
      <c r="I4169"/>
    </row>
    <row r="4170" spans="1:9">
      <c r="A4170" t="s">
        <v>4140</v>
      </c>
      <c r="B4170" s="1" t="str">
        <f>"20057329"</f>
        <v>20057329</v>
      </c>
      <c r="C4170" t="s">
        <v>4141</v>
      </c>
      <c r="D4170" t="s">
        <v>4142</v>
      </c>
      <c r="E4170" s="2"/>
      <c r="F4170"/>
      <c r="G4170" t="s">
        <v>75</v>
      </c>
      <c r="H4170" t="s">
        <v>75</v>
      </c>
      <c r="I4170"/>
    </row>
    <row r="4171" spans="1:9">
      <c r="A4171" t="s">
        <v>4140</v>
      </c>
      <c r="B4171" s="1" t="str">
        <f>"20827434"</f>
        <v>20827434</v>
      </c>
      <c r="C4171" t="s">
        <v>4141</v>
      </c>
      <c r="D4171" t="s">
        <v>4143</v>
      </c>
      <c r="E4171" s="2"/>
      <c r="F4171"/>
      <c r="G4171" t="s">
        <v>19</v>
      </c>
      <c r="H4171" t="s">
        <v>19</v>
      </c>
      <c r="I4171"/>
    </row>
    <row r="4172" spans="1:9">
      <c r="A4172" t="s">
        <v>4140</v>
      </c>
      <c r="B4172" s="1" t="str">
        <f>"20083069"</f>
        <v>20083069</v>
      </c>
      <c r="C4172" t="s">
        <v>4141</v>
      </c>
      <c r="D4172" t="s">
        <v>4144</v>
      </c>
      <c r="E4172" s="2"/>
      <c r="F4172"/>
      <c r="G4172" t="s">
        <v>19</v>
      </c>
      <c r="H4172" t="s">
        <v>19</v>
      </c>
      <c r="I4172"/>
    </row>
    <row r="4173" spans="1:9">
      <c r="A4173" t="s">
        <v>4140</v>
      </c>
      <c r="B4173" s="1" t="str">
        <f>"20112479"</f>
        <v>20112479</v>
      </c>
      <c r="C4173" t="s">
        <v>4141</v>
      </c>
      <c r="D4173" t="s">
        <v>4145</v>
      </c>
      <c r="E4173" s="2"/>
      <c r="F4173"/>
      <c r="G4173" t="s">
        <v>58</v>
      </c>
      <c r="H4173" t="s">
        <v>58</v>
      </c>
      <c r="I4173"/>
    </row>
    <row r="4174" spans="1:9">
      <c r="A4174" t="s">
        <v>4140</v>
      </c>
      <c r="B4174" s="1" t="str">
        <f>"20566654"</f>
        <v>20566654</v>
      </c>
      <c r="C4174" t="s">
        <v>4141</v>
      </c>
      <c r="D4174" t="s">
        <v>4146</v>
      </c>
      <c r="E4174" s="2"/>
      <c r="F4174"/>
      <c r="G4174" t="s">
        <v>19</v>
      </c>
      <c r="H4174" t="s">
        <v>19</v>
      </c>
      <c r="I4174"/>
    </row>
    <row r="4175" spans="1:9">
      <c r="A4175" t="s">
        <v>4147</v>
      </c>
      <c r="B4175" s="1" t="str">
        <f>"20041045"</f>
        <v>20041045</v>
      </c>
      <c r="C4175" t="s">
        <v>4016</v>
      </c>
      <c r="D4175" t="s">
        <v>4148</v>
      </c>
      <c r="E4175" s="2"/>
      <c r="F4175" t="s">
        <v>4021</v>
      </c>
      <c r="G4175" t="s">
        <v>25</v>
      </c>
      <c r="H4175" t="s">
        <v>25</v>
      </c>
      <c r="I4175"/>
    </row>
    <row r="4176" spans="1:9">
      <c r="A4176" t="s">
        <v>4147</v>
      </c>
      <c r="B4176" s="1" t="str">
        <f>"20067755"</f>
        <v>20067755</v>
      </c>
      <c r="C4176" t="s">
        <v>4016</v>
      </c>
      <c r="D4176" t="s">
        <v>4149</v>
      </c>
      <c r="E4176" s="2"/>
      <c r="F4176" t="s">
        <v>4023</v>
      </c>
      <c r="G4176" t="s">
        <v>25</v>
      </c>
      <c r="H4176" t="s">
        <v>25</v>
      </c>
      <c r="I4176"/>
    </row>
    <row r="4177" spans="1:9">
      <c r="A4177" t="s">
        <v>4147</v>
      </c>
      <c r="B4177" s="1" t="str">
        <f>"20161681"</f>
        <v>20161681</v>
      </c>
      <c r="C4177" t="s">
        <v>691</v>
      </c>
      <c r="D4177" t="s">
        <v>4150</v>
      </c>
      <c r="E4177" s="2"/>
      <c r="F4177" t="s">
        <v>4021</v>
      </c>
      <c r="G4177" t="s">
        <v>25</v>
      </c>
      <c r="H4177" t="s">
        <v>25</v>
      </c>
      <c r="I4177"/>
    </row>
    <row r="4178" spans="1:9">
      <c r="A4178" t="s">
        <v>4147</v>
      </c>
      <c r="B4178" s="1" t="str">
        <f>"20264628"</f>
        <v>20264628</v>
      </c>
      <c r="C4178" t="s">
        <v>4151</v>
      </c>
      <c r="D4178" t="s">
        <v>4152</v>
      </c>
      <c r="E4178" s="2"/>
      <c r="F4178" t="s">
        <v>4021</v>
      </c>
      <c r="G4178" t="s">
        <v>25</v>
      </c>
      <c r="H4178" t="s">
        <v>25</v>
      </c>
      <c r="I4178"/>
    </row>
    <row r="4179" spans="1:9">
      <c r="A4179" t="s">
        <v>4147</v>
      </c>
      <c r="B4179" s="1" t="str">
        <f>"20161984"</f>
        <v>20161984</v>
      </c>
      <c r="C4179" t="s">
        <v>4151</v>
      </c>
      <c r="D4179" t="s">
        <v>4153</v>
      </c>
      <c r="E4179" s="2"/>
      <c r="F4179" t="s">
        <v>4021</v>
      </c>
      <c r="G4179" t="s">
        <v>25</v>
      </c>
      <c r="H4179" t="s">
        <v>25</v>
      </c>
      <c r="I4179"/>
    </row>
    <row r="4180" spans="1:9">
      <c r="A4180" t="s">
        <v>4147</v>
      </c>
      <c r="B4180" s="1" t="str">
        <f>"20066452"</f>
        <v>20066452</v>
      </c>
      <c r="C4180" t="s">
        <v>4005</v>
      </c>
      <c r="D4180" t="s">
        <v>4154</v>
      </c>
      <c r="E4180" s="2"/>
      <c r="F4180" t="s">
        <v>4021</v>
      </c>
      <c r="G4180" t="s">
        <v>25</v>
      </c>
      <c r="H4180" t="s">
        <v>25</v>
      </c>
      <c r="I4180"/>
    </row>
    <row r="4181" spans="1:9">
      <c r="A4181" t="s">
        <v>4147</v>
      </c>
      <c r="B4181" s="1" t="str">
        <f>"20014761"</f>
        <v>20014761</v>
      </c>
      <c r="C4181" t="s">
        <v>4005</v>
      </c>
      <c r="D4181" t="s">
        <v>4155</v>
      </c>
      <c r="E4181" s="2"/>
      <c r="F4181" t="s">
        <v>4021</v>
      </c>
      <c r="G4181"/>
      <c r="H4181" t="s">
        <v>25</v>
      </c>
      <c r="I4181"/>
    </row>
    <row r="4182" spans="1:9">
      <c r="A4182" t="s">
        <v>4147</v>
      </c>
      <c r="B4182" s="1" t="str">
        <f>"20014760"</f>
        <v>20014760</v>
      </c>
      <c r="C4182" t="s">
        <v>4005</v>
      </c>
      <c r="D4182" t="s">
        <v>4156</v>
      </c>
      <c r="E4182" s="2"/>
      <c r="F4182" t="s">
        <v>4021</v>
      </c>
      <c r="G4182"/>
      <c r="H4182" t="s">
        <v>25</v>
      </c>
      <c r="I4182"/>
    </row>
    <row r="4183" spans="1:9">
      <c r="A4183" t="s">
        <v>4147</v>
      </c>
      <c r="B4183" s="1" t="str">
        <f>"20104871"</f>
        <v>20104871</v>
      </c>
      <c r="C4183" t="s">
        <v>4005</v>
      </c>
      <c r="D4183" t="s">
        <v>4157</v>
      </c>
      <c r="E4183" s="2"/>
      <c r="F4183" t="s">
        <v>4021</v>
      </c>
      <c r="G4183" t="s">
        <v>25</v>
      </c>
      <c r="H4183" t="s">
        <v>25</v>
      </c>
      <c r="I4183"/>
    </row>
    <row r="4184" spans="1:9">
      <c r="A4184" t="s">
        <v>4147</v>
      </c>
      <c r="B4184" s="1" t="str">
        <f>"20013998"</f>
        <v>20013998</v>
      </c>
      <c r="C4184" t="s">
        <v>4005</v>
      </c>
      <c r="D4184" t="s">
        <v>4158</v>
      </c>
      <c r="E4184" s="2"/>
      <c r="F4184" t="s">
        <v>4021</v>
      </c>
      <c r="G4184" t="s">
        <v>25</v>
      </c>
      <c r="H4184" t="s">
        <v>25</v>
      </c>
      <c r="I4184"/>
    </row>
    <row r="4185" spans="1:9">
      <c r="A4185" t="s">
        <v>4147</v>
      </c>
      <c r="B4185" s="1" t="str">
        <f>"20119669"</f>
        <v>20119669</v>
      </c>
      <c r="C4185" t="s">
        <v>4159</v>
      </c>
      <c r="D4185" t="s">
        <v>4160</v>
      </c>
      <c r="E4185" s="2"/>
      <c r="F4185" t="s">
        <v>4021</v>
      </c>
      <c r="G4185" t="s">
        <v>25</v>
      </c>
      <c r="H4185" t="s">
        <v>25</v>
      </c>
      <c r="I4185"/>
    </row>
    <row r="4186" spans="1:9">
      <c r="A4186" t="s">
        <v>4147</v>
      </c>
      <c r="B4186" s="1" t="str">
        <f>"20818623"</f>
        <v>20818623</v>
      </c>
      <c r="C4186" t="s">
        <v>4159</v>
      </c>
      <c r="D4186" t="s">
        <v>4161</v>
      </c>
      <c r="E4186" s="2"/>
      <c r="F4186" t="s">
        <v>4021</v>
      </c>
      <c r="G4186" t="s">
        <v>25</v>
      </c>
      <c r="H4186" t="s">
        <v>25</v>
      </c>
      <c r="I4186"/>
    </row>
    <row r="4187" spans="1:9">
      <c r="A4187" t="s">
        <v>4147</v>
      </c>
      <c r="B4187" s="1" t="str">
        <f>"20828837"</f>
        <v>20828837</v>
      </c>
      <c r="C4187" t="s">
        <v>4013</v>
      </c>
      <c r="D4187" t="s">
        <v>4162</v>
      </c>
      <c r="E4187" s="2"/>
      <c r="F4187" t="s">
        <v>4023</v>
      </c>
      <c r="G4187" t="s">
        <v>25</v>
      </c>
      <c r="H4187" t="s">
        <v>25</v>
      </c>
      <c r="I4187"/>
    </row>
    <row r="4188" spans="1:9">
      <c r="A4188" t="s">
        <v>4163</v>
      </c>
      <c r="B4188" s="1" t="str">
        <f>"20065445"</f>
        <v>20065445</v>
      </c>
      <c r="C4188" t="s">
        <v>691</v>
      </c>
      <c r="D4188" t="s">
        <v>4164</v>
      </c>
      <c r="E4188" s="2"/>
      <c r="F4188" t="s">
        <v>4021</v>
      </c>
      <c r="G4188" t="s">
        <v>25</v>
      </c>
      <c r="H4188" t="s">
        <v>25</v>
      </c>
      <c r="I4188"/>
    </row>
    <row r="4189" spans="1:9">
      <c r="A4189" t="s">
        <v>4163</v>
      </c>
      <c r="B4189" s="1" t="str">
        <f>"22855169"</f>
        <v>22855169</v>
      </c>
      <c r="C4189" t="s">
        <v>4005</v>
      </c>
      <c r="D4189" t="s">
        <v>4165</v>
      </c>
      <c r="E4189" s="2"/>
      <c r="F4189" t="s">
        <v>4021</v>
      </c>
      <c r="G4189" t="s">
        <v>4052</v>
      </c>
      <c r="H4189" t="s">
        <v>4052</v>
      </c>
      <c r="I4189"/>
    </row>
    <row r="4190" spans="1:9">
      <c r="A4190" t="s">
        <v>4163</v>
      </c>
      <c r="B4190" s="1" t="str">
        <f>"20014759"</f>
        <v>20014759</v>
      </c>
      <c r="C4190" t="s">
        <v>4005</v>
      </c>
      <c r="D4190" t="s">
        <v>4166</v>
      </c>
      <c r="E4190" s="2"/>
      <c r="F4190" t="s">
        <v>4021</v>
      </c>
      <c r="G4190" t="s">
        <v>25</v>
      </c>
      <c r="H4190" t="s">
        <v>25</v>
      </c>
      <c r="I4190"/>
    </row>
    <row r="4191" spans="1:9">
      <c r="A4191" t="s">
        <v>4163</v>
      </c>
      <c r="B4191" s="1" t="str">
        <f>"20066759"</f>
        <v>20066759</v>
      </c>
      <c r="C4191" t="s">
        <v>4005</v>
      </c>
      <c r="D4191" t="s">
        <v>4167</v>
      </c>
      <c r="E4191" s="2"/>
      <c r="F4191" t="s">
        <v>4021</v>
      </c>
      <c r="G4191" t="s">
        <v>25</v>
      </c>
      <c r="H4191" t="s">
        <v>25</v>
      </c>
      <c r="I4191"/>
    </row>
    <row r="4192" spans="1:9">
      <c r="A4192" t="s">
        <v>4163</v>
      </c>
      <c r="B4192" s="1" t="str">
        <f>"20537265"</f>
        <v>20537265</v>
      </c>
      <c r="C4192" t="s">
        <v>4005</v>
      </c>
      <c r="D4192" t="s">
        <v>4168</v>
      </c>
      <c r="E4192" s="2"/>
      <c r="F4192" t="s">
        <v>4021</v>
      </c>
      <c r="G4192" t="s">
        <v>25</v>
      </c>
      <c r="H4192" t="s">
        <v>25</v>
      </c>
      <c r="I4192"/>
    </row>
    <row r="4193" spans="1:9">
      <c r="A4193" t="s">
        <v>4163</v>
      </c>
      <c r="B4193" s="1" t="str">
        <f>"24459482"</f>
        <v>24459482</v>
      </c>
      <c r="C4193" t="s">
        <v>4159</v>
      </c>
      <c r="D4193" t="s">
        <v>4169</v>
      </c>
      <c r="E4193" s="2"/>
      <c r="F4193" t="s">
        <v>4021</v>
      </c>
      <c r="G4193" t="s">
        <v>25</v>
      </c>
      <c r="H4193" t="s">
        <v>25</v>
      </c>
      <c r="I4193"/>
    </row>
    <row r="4194" spans="1:9">
      <c r="A4194" t="s">
        <v>4163</v>
      </c>
      <c r="B4194" s="1" t="str">
        <f>"20041953"</f>
        <v>20041953</v>
      </c>
      <c r="C4194" t="s">
        <v>4159</v>
      </c>
      <c r="D4194" t="s">
        <v>4170</v>
      </c>
      <c r="E4194" s="2"/>
      <c r="F4194" t="s">
        <v>4021</v>
      </c>
      <c r="G4194" t="s">
        <v>25</v>
      </c>
      <c r="H4194" t="s">
        <v>25</v>
      </c>
      <c r="I4194"/>
    </row>
    <row r="4195" spans="1:9">
      <c r="A4195" t="s">
        <v>4163</v>
      </c>
      <c r="B4195" s="1" t="str">
        <f>"20525033"</f>
        <v>20525033</v>
      </c>
      <c r="C4195" t="s">
        <v>4159</v>
      </c>
      <c r="D4195" t="s">
        <v>4171</v>
      </c>
      <c r="E4195" s="2"/>
      <c r="F4195" t="s">
        <v>4021</v>
      </c>
      <c r="G4195" t="s">
        <v>25</v>
      </c>
      <c r="H4195" t="s">
        <v>25</v>
      </c>
      <c r="I4195"/>
    </row>
    <row r="4196" spans="1:9">
      <c r="A4196" t="s">
        <v>4172</v>
      </c>
      <c r="B4196" s="1" t="str">
        <f>"27457676"</f>
        <v>27457676</v>
      </c>
      <c r="C4196" t="s">
        <v>691</v>
      </c>
      <c r="D4196" t="s">
        <v>4173</v>
      </c>
      <c r="E4196" s="2"/>
      <c r="F4196" t="s">
        <v>27</v>
      </c>
      <c r="G4196" t="s">
        <v>25</v>
      </c>
      <c r="H4196" t="s">
        <v>25</v>
      </c>
      <c r="I4196"/>
    </row>
    <row r="4197" spans="1:9">
      <c r="A4197" t="s">
        <v>4172</v>
      </c>
      <c r="B4197" s="1" t="str">
        <f>"20702038"</f>
        <v>20702038</v>
      </c>
      <c r="C4197" t="s">
        <v>4174</v>
      </c>
      <c r="D4197" t="s">
        <v>4175</v>
      </c>
      <c r="E4197" s="2"/>
      <c r="F4197" t="s">
        <v>1592</v>
      </c>
      <c r="G4197" t="s">
        <v>25</v>
      </c>
      <c r="H4197" t="s">
        <v>25</v>
      </c>
      <c r="I4197"/>
    </row>
    <row r="4198" spans="1:9">
      <c r="A4198" t="s">
        <v>4172</v>
      </c>
      <c r="B4198" s="1" t="str">
        <f>"28133003"</f>
        <v>28133003</v>
      </c>
      <c r="C4198" t="s">
        <v>4174</v>
      </c>
      <c r="D4198" t="s">
        <v>4176</v>
      </c>
      <c r="E4198" s="2"/>
      <c r="F4198" t="s">
        <v>1592</v>
      </c>
      <c r="G4198" t="s">
        <v>25</v>
      </c>
      <c r="H4198" t="s">
        <v>25</v>
      </c>
      <c r="I4198"/>
    </row>
    <row r="4199" spans="1:9">
      <c r="A4199" t="s">
        <v>4172</v>
      </c>
      <c r="B4199" s="1" t="str">
        <f>"20702043"</f>
        <v>20702043</v>
      </c>
      <c r="C4199" t="s">
        <v>4174</v>
      </c>
      <c r="D4199" t="s">
        <v>4177</v>
      </c>
      <c r="E4199" s="2"/>
      <c r="F4199" t="s">
        <v>27</v>
      </c>
      <c r="G4199" t="s">
        <v>25</v>
      </c>
      <c r="H4199" t="s">
        <v>25</v>
      </c>
      <c r="I4199"/>
    </row>
    <row r="4200" spans="1:9">
      <c r="A4200" t="s">
        <v>4172</v>
      </c>
      <c r="B4200" s="1" t="str">
        <f>"20702039"</f>
        <v>20702039</v>
      </c>
      <c r="C4200" t="s">
        <v>4174</v>
      </c>
      <c r="D4200" t="s">
        <v>4178</v>
      </c>
      <c r="E4200" s="2"/>
      <c r="F4200" t="s">
        <v>27</v>
      </c>
      <c r="G4200" t="s">
        <v>25</v>
      </c>
      <c r="H4200" t="s">
        <v>25</v>
      </c>
      <c r="I4200"/>
    </row>
    <row r="4201" spans="1:9">
      <c r="A4201" t="s">
        <v>4172</v>
      </c>
      <c r="B4201" s="1" t="str">
        <f>"20625085"</f>
        <v>20625085</v>
      </c>
      <c r="C4201" t="s">
        <v>4174</v>
      </c>
      <c r="D4201" t="s">
        <v>4179</v>
      </c>
      <c r="E4201" s="2"/>
      <c r="F4201" t="s">
        <v>27</v>
      </c>
      <c r="G4201" t="s">
        <v>25</v>
      </c>
      <c r="H4201" t="s">
        <v>25</v>
      </c>
      <c r="I4201"/>
    </row>
    <row r="4202" spans="1:9">
      <c r="A4202" t="s">
        <v>4172</v>
      </c>
      <c r="B4202" s="1" t="str">
        <f>"26109028"</f>
        <v>26109028</v>
      </c>
      <c r="C4202" t="s">
        <v>2481</v>
      </c>
      <c r="D4202" t="s">
        <v>4180</v>
      </c>
      <c r="E4202" s="2"/>
      <c r="F4202" t="s">
        <v>129</v>
      </c>
      <c r="G4202" t="s">
        <v>370</v>
      </c>
      <c r="H4202" t="s">
        <v>370</v>
      </c>
      <c r="I4202"/>
    </row>
    <row r="4203" spans="1:9">
      <c r="A4203" t="s">
        <v>4172</v>
      </c>
      <c r="B4203" s="1" t="str">
        <f>"26109059"</f>
        <v>26109059</v>
      </c>
      <c r="C4203" t="s">
        <v>2481</v>
      </c>
      <c r="D4203" t="s">
        <v>4181</v>
      </c>
      <c r="E4203" s="2"/>
      <c r="F4203" t="s">
        <v>1461</v>
      </c>
      <c r="G4203" t="s">
        <v>370</v>
      </c>
      <c r="H4203" t="s">
        <v>370</v>
      </c>
      <c r="I4203"/>
    </row>
    <row r="4204" spans="1:9">
      <c r="A4204" t="s">
        <v>4172</v>
      </c>
      <c r="B4204" s="1" t="str">
        <f>"20837729"</f>
        <v>20837729</v>
      </c>
      <c r="C4204" t="s">
        <v>2481</v>
      </c>
      <c r="D4204" t="s">
        <v>4182</v>
      </c>
      <c r="E4204" s="2"/>
      <c r="F4204" t="s">
        <v>206</v>
      </c>
      <c r="G4204" t="s">
        <v>4024</v>
      </c>
      <c r="H4204" t="s">
        <v>4024</v>
      </c>
      <c r="I4204"/>
    </row>
    <row r="4205" spans="1:9">
      <c r="A4205" t="s">
        <v>4172</v>
      </c>
      <c r="B4205" s="1" t="str">
        <f>"20837728"</f>
        <v>20837728</v>
      </c>
      <c r="C4205" t="s">
        <v>2481</v>
      </c>
      <c r="D4205" t="s">
        <v>4183</v>
      </c>
      <c r="E4205" s="2"/>
      <c r="F4205" t="s">
        <v>1461</v>
      </c>
      <c r="G4205" t="s">
        <v>25</v>
      </c>
      <c r="H4205" t="s">
        <v>370</v>
      </c>
      <c r="I4205"/>
    </row>
    <row r="4206" spans="1:9">
      <c r="A4206" t="s">
        <v>4172</v>
      </c>
      <c r="B4206" s="1" t="str">
        <f>"20837730"</f>
        <v>20837730</v>
      </c>
      <c r="C4206" t="s">
        <v>2481</v>
      </c>
      <c r="D4206" t="s">
        <v>4184</v>
      </c>
      <c r="E4206" s="2"/>
      <c r="F4206" t="s">
        <v>66</v>
      </c>
      <c r="G4206" t="s">
        <v>25</v>
      </c>
      <c r="H4206" t="s">
        <v>25</v>
      </c>
      <c r="I4206"/>
    </row>
    <row r="4207" spans="1:9">
      <c r="A4207" t="s">
        <v>4172</v>
      </c>
      <c r="B4207" s="1" t="str">
        <f>"20837727"</f>
        <v>20837727</v>
      </c>
      <c r="C4207" t="s">
        <v>4036</v>
      </c>
      <c r="D4207" t="s">
        <v>4185</v>
      </c>
      <c r="E4207" s="2"/>
      <c r="F4207" t="s">
        <v>1461</v>
      </c>
      <c r="G4207" t="s">
        <v>370</v>
      </c>
      <c r="H4207" t="s">
        <v>370</v>
      </c>
      <c r="I4207"/>
    </row>
    <row r="4208" spans="1:9">
      <c r="A4208" t="s">
        <v>4172</v>
      </c>
      <c r="B4208" s="1" t="str">
        <f>"20055158"</f>
        <v>20055158</v>
      </c>
      <c r="C4208" t="s">
        <v>4186</v>
      </c>
      <c r="D4208" t="s">
        <v>4187</v>
      </c>
      <c r="E4208" s="2"/>
      <c r="F4208" t="s">
        <v>27</v>
      </c>
      <c r="G4208" t="s">
        <v>25</v>
      </c>
      <c r="H4208" t="s">
        <v>25</v>
      </c>
      <c r="I4208"/>
    </row>
    <row r="4209" spans="1:9">
      <c r="A4209" t="s">
        <v>4172</v>
      </c>
      <c r="B4209" s="1" t="str">
        <f>"20666002"</f>
        <v>20666002</v>
      </c>
      <c r="C4209" t="s">
        <v>4186</v>
      </c>
      <c r="D4209" t="s">
        <v>4188</v>
      </c>
      <c r="E4209" s="2"/>
      <c r="F4209" t="s">
        <v>27</v>
      </c>
      <c r="G4209" t="s">
        <v>25</v>
      </c>
      <c r="H4209" t="s">
        <v>25</v>
      </c>
      <c r="I4209"/>
    </row>
    <row r="4210" spans="1:9">
      <c r="A4210" t="s">
        <v>4172</v>
      </c>
      <c r="B4210" s="1" t="str">
        <f>"20016545"</f>
        <v>20016545</v>
      </c>
      <c r="C4210" t="s">
        <v>4005</v>
      </c>
      <c r="D4210" t="s">
        <v>4189</v>
      </c>
      <c r="E4210" s="2"/>
      <c r="F4210" t="s">
        <v>129</v>
      </c>
      <c r="G4210" t="s">
        <v>25</v>
      </c>
      <c r="H4210" t="s">
        <v>25</v>
      </c>
      <c r="I4210"/>
    </row>
    <row r="4211" spans="1:9">
      <c r="A4211" t="s">
        <v>4172</v>
      </c>
      <c r="B4211" s="1" t="str">
        <f>"20095680"</f>
        <v>20095680</v>
      </c>
      <c r="C4211" t="s">
        <v>4005</v>
      </c>
      <c r="D4211" t="s">
        <v>4190</v>
      </c>
      <c r="E4211" s="2"/>
      <c r="F4211" t="s">
        <v>27</v>
      </c>
      <c r="G4211" t="s">
        <v>25</v>
      </c>
      <c r="H4211" t="s">
        <v>25</v>
      </c>
      <c r="I4211"/>
    </row>
    <row r="4212" spans="1:9">
      <c r="A4212" t="s">
        <v>4172</v>
      </c>
      <c r="B4212" s="1" t="str">
        <f>"20264550"</f>
        <v>20264550</v>
      </c>
      <c r="C4212" t="s">
        <v>4005</v>
      </c>
      <c r="D4212" t="s">
        <v>4191</v>
      </c>
      <c r="E4212" s="2"/>
      <c r="F4212" t="s">
        <v>27</v>
      </c>
      <c r="G4212" t="s">
        <v>25</v>
      </c>
      <c r="H4212" t="s">
        <v>25</v>
      </c>
      <c r="I4212"/>
    </row>
    <row r="4213" spans="1:9">
      <c r="A4213" t="s">
        <v>4172</v>
      </c>
      <c r="B4213" s="1" t="str">
        <f>"20264551"</f>
        <v>20264551</v>
      </c>
      <c r="C4213" t="s">
        <v>4005</v>
      </c>
      <c r="D4213" t="s">
        <v>4192</v>
      </c>
      <c r="E4213" s="2"/>
      <c r="F4213" t="s">
        <v>27</v>
      </c>
      <c r="G4213" t="s">
        <v>25</v>
      </c>
      <c r="H4213" t="s">
        <v>25</v>
      </c>
      <c r="I4213"/>
    </row>
    <row r="4214" spans="1:9">
      <c r="A4214" t="s">
        <v>4172</v>
      </c>
      <c r="B4214" s="1" t="str">
        <f>"20151058"</f>
        <v>20151058</v>
      </c>
      <c r="C4214" t="s">
        <v>4193</v>
      </c>
      <c r="D4214" t="s">
        <v>4194</v>
      </c>
      <c r="E4214" s="2"/>
      <c r="F4214" t="s">
        <v>27</v>
      </c>
      <c r="G4214" t="s">
        <v>25</v>
      </c>
      <c r="H4214" t="s">
        <v>25</v>
      </c>
      <c r="I4214"/>
    </row>
    <row r="4215" spans="1:9">
      <c r="A4215" t="s">
        <v>4172</v>
      </c>
      <c r="B4215" s="1" t="str">
        <f>"20873844"</f>
        <v>20873844</v>
      </c>
      <c r="C4215" t="s">
        <v>4193</v>
      </c>
      <c r="D4215" t="s">
        <v>4195</v>
      </c>
      <c r="E4215" s="2"/>
      <c r="F4215" t="s">
        <v>27</v>
      </c>
      <c r="G4215" t="s">
        <v>25</v>
      </c>
      <c r="H4215" t="s">
        <v>25</v>
      </c>
      <c r="I4215"/>
    </row>
    <row r="4216" spans="1:9">
      <c r="A4216" t="s">
        <v>4172</v>
      </c>
      <c r="B4216" s="1" t="str">
        <f>"20859459"</f>
        <v>20859459</v>
      </c>
      <c r="C4216" t="s">
        <v>4196</v>
      </c>
      <c r="D4216" t="s">
        <v>4197</v>
      </c>
      <c r="E4216" s="2"/>
      <c r="F4216" t="s">
        <v>1461</v>
      </c>
      <c r="G4216" t="s">
        <v>25</v>
      </c>
      <c r="H4216" t="s">
        <v>25</v>
      </c>
      <c r="I4216"/>
    </row>
    <row r="4217" spans="1:9">
      <c r="A4217" t="s">
        <v>4172</v>
      </c>
      <c r="B4217" s="1" t="str">
        <f>"20840525"</f>
        <v>20840525</v>
      </c>
      <c r="C4217" t="s">
        <v>4013</v>
      </c>
      <c r="D4217" t="s">
        <v>4198</v>
      </c>
      <c r="E4217" s="2"/>
      <c r="F4217" t="s">
        <v>206</v>
      </c>
      <c r="G4217" t="s">
        <v>25</v>
      </c>
      <c r="H4217" t="s">
        <v>25</v>
      </c>
      <c r="I4217"/>
    </row>
    <row r="4218" spans="1:9">
      <c r="A4218" t="s">
        <v>4172</v>
      </c>
      <c r="B4218" s="1" t="str">
        <f>"20828707"</f>
        <v>20828707</v>
      </c>
      <c r="C4218" t="s">
        <v>4013</v>
      </c>
      <c r="D4218" t="s">
        <v>4199</v>
      </c>
      <c r="E4218" s="2"/>
      <c r="F4218" t="s">
        <v>206</v>
      </c>
      <c r="G4218" t="s">
        <v>25</v>
      </c>
      <c r="H4218" t="s">
        <v>25</v>
      </c>
      <c r="I4218"/>
    </row>
    <row r="4219" spans="1:9">
      <c r="A4219" t="s">
        <v>4172</v>
      </c>
      <c r="B4219" s="1" t="str">
        <f>"20950884"</f>
        <v>20950884</v>
      </c>
      <c r="C4219" t="s">
        <v>4013</v>
      </c>
      <c r="D4219" t="s">
        <v>4200</v>
      </c>
      <c r="E4219" s="2"/>
      <c r="F4219" t="s">
        <v>206</v>
      </c>
      <c r="G4219" t="s">
        <v>25</v>
      </c>
      <c r="H4219" t="s">
        <v>25</v>
      </c>
      <c r="I4219"/>
    </row>
    <row r="4220" spans="1:9">
      <c r="A4220" t="s">
        <v>4172</v>
      </c>
      <c r="B4220" s="1" t="str">
        <f>"20828646"</f>
        <v>20828646</v>
      </c>
      <c r="C4220" t="s">
        <v>4013</v>
      </c>
      <c r="D4220" t="s">
        <v>4201</v>
      </c>
      <c r="E4220" s="2"/>
      <c r="F4220" t="s">
        <v>129</v>
      </c>
      <c r="G4220" t="s">
        <v>25</v>
      </c>
      <c r="H4220" t="s">
        <v>25</v>
      </c>
      <c r="I4220"/>
    </row>
    <row r="4221" spans="1:9">
      <c r="A4221" t="s">
        <v>4172</v>
      </c>
      <c r="B4221" s="1" t="str">
        <f>"20828823"</f>
        <v>20828823</v>
      </c>
      <c r="C4221" t="s">
        <v>4013</v>
      </c>
      <c r="D4221" t="s">
        <v>4202</v>
      </c>
      <c r="E4221" s="2"/>
      <c r="F4221" t="s">
        <v>206</v>
      </c>
      <c r="G4221" t="s">
        <v>25</v>
      </c>
      <c r="H4221" t="s">
        <v>25</v>
      </c>
      <c r="I4221"/>
    </row>
    <row r="4222" spans="1:9">
      <c r="A4222" t="s">
        <v>4203</v>
      </c>
      <c r="B4222" s="1" t="str">
        <f>"20637989"</f>
        <v>20637989</v>
      </c>
      <c r="C4222" t="s">
        <v>4204</v>
      </c>
      <c r="D4222" t="s">
        <v>4205</v>
      </c>
      <c r="E4222" s="2"/>
      <c r="F4222" t="s">
        <v>27</v>
      </c>
      <c r="G4222" t="s">
        <v>25</v>
      </c>
      <c r="H4222" t="s">
        <v>25</v>
      </c>
      <c r="I4222"/>
    </row>
    <row r="4223" spans="1:9">
      <c r="A4223" t="s">
        <v>4203</v>
      </c>
      <c r="B4223" s="1" t="str">
        <f>"20023584"</f>
        <v>20023584</v>
      </c>
      <c r="C4223" t="s">
        <v>4204</v>
      </c>
      <c r="D4223" t="s">
        <v>4206</v>
      </c>
      <c r="E4223" s="2"/>
      <c r="F4223" t="s">
        <v>27</v>
      </c>
      <c r="G4223" t="s">
        <v>25</v>
      </c>
      <c r="H4223" t="s">
        <v>25</v>
      </c>
      <c r="I4223"/>
    </row>
    <row r="4224" spans="1:9">
      <c r="A4224" t="s">
        <v>4203</v>
      </c>
      <c r="B4224" s="1" t="str">
        <f>"20860486"</f>
        <v>20860486</v>
      </c>
      <c r="C4224" t="s">
        <v>4174</v>
      </c>
      <c r="D4224" t="s">
        <v>4207</v>
      </c>
      <c r="E4224" s="2"/>
      <c r="F4224" t="s">
        <v>27</v>
      </c>
      <c r="G4224" t="s">
        <v>25</v>
      </c>
      <c r="H4224" t="s">
        <v>25</v>
      </c>
      <c r="I4224"/>
    </row>
    <row r="4225" spans="1:9">
      <c r="A4225" t="s">
        <v>4203</v>
      </c>
      <c r="B4225" s="1" t="str">
        <f>"20572129"</f>
        <v>20572129</v>
      </c>
      <c r="C4225" t="s">
        <v>4174</v>
      </c>
      <c r="D4225" t="s">
        <v>4208</v>
      </c>
      <c r="E4225" s="2"/>
      <c r="F4225" t="s">
        <v>27</v>
      </c>
      <c r="G4225" t="s">
        <v>25</v>
      </c>
      <c r="H4225" t="s">
        <v>25</v>
      </c>
      <c r="I4225"/>
    </row>
    <row r="4226" spans="1:9">
      <c r="A4226" t="s">
        <v>4203</v>
      </c>
      <c r="B4226" s="1" t="str">
        <f>"20572150"</f>
        <v>20572150</v>
      </c>
      <c r="C4226" t="s">
        <v>4174</v>
      </c>
      <c r="D4226" t="s">
        <v>4209</v>
      </c>
      <c r="E4226" s="2"/>
      <c r="F4226" t="s">
        <v>27</v>
      </c>
      <c r="G4226" t="s">
        <v>25</v>
      </c>
      <c r="H4226" t="s">
        <v>25</v>
      </c>
      <c r="I4226"/>
    </row>
    <row r="4227" spans="1:9">
      <c r="A4227" t="s">
        <v>4203</v>
      </c>
      <c r="B4227" s="1" t="str">
        <f>"20572266"</f>
        <v>20572266</v>
      </c>
      <c r="C4227" t="s">
        <v>4174</v>
      </c>
      <c r="D4227" t="s">
        <v>4210</v>
      </c>
      <c r="E4227" s="2"/>
      <c r="F4227" t="s">
        <v>27</v>
      </c>
      <c r="G4227" t="s">
        <v>25</v>
      </c>
      <c r="H4227" t="s">
        <v>25</v>
      </c>
      <c r="I4227"/>
    </row>
    <row r="4228" spans="1:9">
      <c r="A4228" t="s">
        <v>4203</v>
      </c>
      <c r="B4228" s="1" t="str">
        <f>"20536077"</f>
        <v>20536077</v>
      </c>
      <c r="C4228" t="s">
        <v>4186</v>
      </c>
      <c r="D4228" t="s">
        <v>4211</v>
      </c>
      <c r="E4228" s="2"/>
      <c r="F4228" t="s">
        <v>27</v>
      </c>
      <c r="G4228" t="s">
        <v>25</v>
      </c>
      <c r="H4228" t="s">
        <v>25</v>
      </c>
      <c r="I4228"/>
    </row>
    <row r="4229" spans="1:9">
      <c r="A4229" t="s">
        <v>4203</v>
      </c>
      <c r="B4229" s="1" t="str">
        <f>"20098674"</f>
        <v>20098674</v>
      </c>
      <c r="C4229" t="s">
        <v>4186</v>
      </c>
      <c r="D4229" t="s">
        <v>4212</v>
      </c>
      <c r="E4229" s="2"/>
      <c r="F4229" t="s">
        <v>27</v>
      </c>
      <c r="G4229" t="s">
        <v>25</v>
      </c>
      <c r="H4229" t="s">
        <v>25</v>
      </c>
      <c r="I4229"/>
    </row>
    <row r="4230" spans="1:9">
      <c r="A4230" t="s">
        <v>4203</v>
      </c>
      <c r="B4230" s="1" t="str">
        <f>"20787196"</f>
        <v>20787196</v>
      </c>
      <c r="C4230" t="s">
        <v>4186</v>
      </c>
      <c r="D4230" t="s">
        <v>4213</v>
      </c>
      <c r="E4230" s="2"/>
      <c r="F4230" t="s">
        <v>27</v>
      </c>
      <c r="G4230" t="s">
        <v>25</v>
      </c>
      <c r="H4230" t="s">
        <v>25</v>
      </c>
      <c r="I4230"/>
    </row>
    <row r="4231" spans="1:9">
      <c r="A4231" t="s">
        <v>4203</v>
      </c>
      <c r="B4231" s="1" t="str">
        <f>"24186777"</f>
        <v>24186777</v>
      </c>
      <c r="C4231" t="s">
        <v>4214</v>
      </c>
      <c r="D4231" t="s">
        <v>4215</v>
      </c>
      <c r="E4231" s="2"/>
      <c r="F4231" t="s">
        <v>66</v>
      </c>
      <c r="G4231" t="s">
        <v>25</v>
      </c>
      <c r="H4231" t="s">
        <v>25</v>
      </c>
      <c r="I4231"/>
    </row>
    <row r="4232" spans="1:9">
      <c r="A4232" t="s">
        <v>4203</v>
      </c>
      <c r="B4232" s="1" t="str">
        <f>"20016544"</f>
        <v>20016544</v>
      </c>
      <c r="C4232" t="s">
        <v>4005</v>
      </c>
      <c r="D4232" t="s">
        <v>4216</v>
      </c>
      <c r="E4232" s="2"/>
      <c r="F4232" t="s">
        <v>27</v>
      </c>
      <c r="G4232" t="s">
        <v>25</v>
      </c>
      <c r="H4232" t="s">
        <v>25</v>
      </c>
      <c r="I4232"/>
    </row>
    <row r="4233" spans="1:9">
      <c r="A4233" t="s">
        <v>4203</v>
      </c>
      <c r="B4233" s="1" t="str">
        <f>"20016546"</f>
        <v>20016546</v>
      </c>
      <c r="C4233" t="s">
        <v>4005</v>
      </c>
      <c r="D4233" t="s">
        <v>4217</v>
      </c>
      <c r="E4233" s="2"/>
      <c r="F4233" t="s">
        <v>27</v>
      </c>
      <c r="G4233" t="s">
        <v>25</v>
      </c>
      <c r="H4233" t="s">
        <v>25</v>
      </c>
      <c r="I4233"/>
    </row>
    <row r="4234" spans="1:9">
      <c r="A4234" t="s">
        <v>4203</v>
      </c>
      <c r="B4234" s="1" t="str">
        <f>"20016543"</f>
        <v>20016543</v>
      </c>
      <c r="C4234" t="s">
        <v>4005</v>
      </c>
      <c r="D4234" t="s">
        <v>4218</v>
      </c>
      <c r="E4234" s="2"/>
      <c r="F4234" t="s">
        <v>27</v>
      </c>
      <c r="G4234" t="s">
        <v>25</v>
      </c>
      <c r="H4234" t="s">
        <v>25</v>
      </c>
      <c r="I4234"/>
    </row>
    <row r="4235" spans="1:9">
      <c r="A4235" t="s">
        <v>4203</v>
      </c>
      <c r="B4235" s="1" t="str">
        <f>"20118518"</f>
        <v>20118518</v>
      </c>
      <c r="C4235" t="s">
        <v>4005</v>
      </c>
      <c r="D4235" t="s">
        <v>4219</v>
      </c>
      <c r="E4235" s="2"/>
      <c r="F4235" t="s">
        <v>27</v>
      </c>
      <c r="G4235" t="s">
        <v>25</v>
      </c>
      <c r="H4235" t="s">
        <v>25</v>
      </c>
      <c r="I4235"/>
    </row>
    <row r="4236" spans="1:9">
      <c r="A4236" t="s">
        <v>4203</v>
      </c>
      <c r="B4236" s="1" t="str">
        <f>"20167548"</f>
        <v>20167548</v>
      </c>
      <c r="C4236" t="s">
        <v>4193</v>
      </c>
      <c r="D4236" t="s">
        <v>4220</v>
      </c>
      <c r="E4236" s="2"/>
      <c r="F4236" t="s">
        <v>27</v>
      </c>
      <c r="G4236" t="s">
        <v>25</v>
      </c>
      <c r="H4236" t="s">
        <v>25</v>
      </c>
      <c r="I4236"/>
    </row>
    <row r="4237" spans="1:9">
      <c r="A4237" t="s">
        <v>4221</v>
      </c>
      <c r="B4237" s="1" t="str">
        <f>"20259266"</f>
        <v>20259266</v>
      </c>
      <c r="C4237" t="s">
        <v>4222</v>
      </c>
      <c r="D4237" t="s">
        <v>4223</v>
      </c>
      <c r="E4237" s="2"/>
      <c r="F4237" t="s">
        <v>206</v>
      </c>
      <c r="G4237" t="s">
        <v>25</v>
      </c>
      <c r="H4237" t="s">
        <v>25</v>
      </c>
      <c r="I4237"/>
    </row>
    <row r="4238" spans="1:9">
      <c r="A4238" t="s">
        <v>4221</v>
      </c>
      <c r="B4238" s="1" t="str">
        <f>"20259266.2"</f>
        <v>20259266.2</v>
      </c>
      <c r="C4238" t="s">
        <v>4222</v>
      </c>
      <c r="D4238" t="s">
        <v>4223</v>
      </c>
      <c r="E4238" s="2"/>
      <c r="F4238" t="s">
        <v>206</v>
      </c>
      <c r="G4238" t="s">
        <v>25</v>
      </c>
      <c r="H4238" t="s">
        <v>332</v>
      </c>
      <c r="I4238"/>
    </row>
    <row r="4239" spans="1:9">
      <c r="A4239" t="s">
        <v>4221</v>
      </c>
      <c r="B4239" s="1" t="str">
        <f>"20837721"</f>
        <v>20837721</v>
      </c>
      <c r="C4239" t="s">
        <v>2481</v>
      </c>
      <c r="D4239" t="s">
        <v>4224</v>
      </c>
      <c r="E4239" s="2"/>
      <c r="F4239" t="s">
        <v>380</v>
      </c>
      <c r="G4239" t="s">
        <v>25</v>
      </c>
      <c r="H4239" t="s">
        <v>25</v>
      </c>
      <c r="I4239"/>
    </row>
    <row r="4240" spans="1:9">
      <c r="A4240" t="s">
        <v>4221</v>
      </c>
      <c r="B4240" s="1" t="str">
        <f>"20837731"</f>
        <v>20837731</v>
      </c>
      <c r="C4240" t="s">
        <v>2481</v>
      </c>
      <c r="D4240" t="s">
        <v>4225</v>
      </c>
      <c r="E4240" s="2"/>
      <c r="F4240" t="s">
        <v>1501</v>
      </c>
      <c r="G4240" t="s">
        <v>4024</v>
      </c>
      <c r="H4240" t="s">
        <v>4024</v>
      </c>
      <c r="I4240"/>
    </row>
    <row r="4241" spans="1:9">
      <c r="A4241" t="s">
        <v>4221</v>
      </c>
      <c r="B4241" s="1" t="str">
        <f>"20550028"</f>
        <v>20550028</v>
      </c>
      <c r="C4241" t="s">
        <v>4005</v>
      </c>
      <c r="D4241" t="s">
        <v>4224</v>
      </c>
      <c r="E4241" s="2"/>
      <c r="F4241" t="s">
        <v>2346</v>
      </c>
      <c r="G4241" t="s">
        <v>25</v>
      </c>
      <c r="H4241" t="s">
        <v>25</v>
      </c>
      <c r="I4241"/>
    </row>
    <row r="4242" spans="1:9">
      <c r="A4242" t="s">
        <v>4221</v>
      </c>
      <c r="B4242" s="1" t="str">
        <f>"20550028.2"</f>
        <v>20550028.2</v>
      </c>
      <c r="C4242" t="s">
        <v>4005</v>
      </c>
      <c r="D4242" t="s">
        <v>4224</v>
      </c>
      <c r="E4242" s="2"/>
      <c r="F4242" t="s">
        <v>2346</v>
      </c>
      <c r="G4242" t="s">
        <v>25</v>
      </c>
      <c r="H4242" t="s">
        <v>332</v>
      </c>
      <c r="I4242"/>
    </row>
    <row r="4243" spans="1:9">
      <c r="A4243" t="s">
        <v>4221</v>
      </c>
      <c r="B4243" s="1" t="str">
        <f>"20089848"</f>
        <v>20089848</v>
      </c>
      <c r="C4243" t="s">
        <v>4005</v>
      </c>
      <c r="D4243" t="s">
        <v>4226</v>
      </c>
      <c r="E4243" s="2"/>
      <c r="F4243" t="s">
        <v>206</v>
      </c>
      <c r="G4243" t="s">
        <v>25</v>
      </c>
      <c r="H4243" t="s">
        <v>25</v>
      </c>
      <c r="I4243"/>
    </row>
    <row r="4244" spans="1:9">
      <c r="A4244" t="s">
        <v>4221</v>
      </c>
      <c r="B4244" s="1" t="str">
        <f>"20089848.2"</f>
        <v>20089848.2</v>
      </c>
      <c r="C4244" t="s">
        <v>4005</v>
      </c>
      <c r="D4244" t="s">
        <v>4226</v>
      </c>
      <c r="E4244" s="2"/>
      <c r="F4244" t="s">
        <v>206</v>
      </c>
      <c r="G4244" t="s">
        <v>25</v>
      </c>
      <c r="H4244" t="s">
        <v>332</v>
      </c>
      <c r="I4244"/>
    </row>
    <row r="4245" spans="1:9">
      <c r="A4245" t="s">
        <v>4221</v>
      </c>
      <c r="B4245" s="1" t="str">
        <f>"20092641"</f>
        <v>20092641</v>
      </c>
      <c r="C4245" t="s">
        <v>4005</v>
      </c>
      <c r="D4245" t="s">
        <v>4227</v>
      </c>
      <c r="E4245" s="2"/>
      <c r="F4245" t="s">
        <v>206</v>
      </c>
      <c r="G4245" t="s">
        <v>25</v>
      </c>
      <c r="H4245" t="s">
        <v>25</v>
      </c>
      <c r="I4245"/>
    </row>
    <row r="4246" spans="1:9">
      <c r="A4246" t="s">
        <v>4221</v>
      </c>
      <c r="B4246" s="1" t="str">
        <f>"20092641.2"</f>
        <v>20092641.2</v>
      </c>
      <c r="C4246" t="s">
        <v>4005</v>
      </c>
      <c r="D4246" t="s">
        <v>4227</v>
      </c>
      <c r="E4246" s="2"/>
      <c r="F4246" t="s">
        <v>206</v>
      </c>
      <c r="G4246" t="s">
        <v>25</v>
      </c>
      <c r="H4246" t="s">
        <v>332</v>
      </c>
      <c r="I4246"/>
    </row>
    <row r="4247" spans="1:9">
      <c r="A4247" t="s">
        <v>4228</v>
      </c>
      <c r="B4247" s="1" t="str">
        <f>"20837735"</f>
        <v>20837735</v>
      </c>
      <c r="C4247" t="s">
        <v>2481</v>
      </c>
      <c r="D4247" t="s">
        <v>4229</v>
      </c>
      <c r="E4247" s="2"/>
      <c r="F4247" t="s">
        <v>4030</v>
      </c>
      <c r="G4247" t="s">
        <v>4230</v>
      </c>
      <c r="H4247" t="s">
        <v>4230</v>
      </c>
      <c r="I4247"/>
    </row>
    <row r="4248" spans="1:9">
      <c r="A4248" t="s">
        <v>4228</v>
      </c>
      <c r="B4248" s="1" t="str">
        <f>"20837737"</f>
        <v>20837737</v>
      </c>
      <c r="C4248" t="s">
        <v>2481</v>
      </c>
      <c r="D4248" t="s">
        <v>4231</v>
      </c>
      <c r="E4248" s="2"/>
      <c r="F4248" t="s">
        <v>1501</v>
      </c>
      <c r="G4248" t="s">
        <v>4024</v>
      </c>
      <c r="H4248" t="s">
        <v>4024</v>
      </c>
      <c r="I4248"/>
    </row>
    <row r="4249" spans="1:9">
      <c r="A4249" t="s">
        <v>4228</v>
      </c>
      <c r="B4249" s="1" t="str">
        <f>"20837736"</f>
        <v>20837736</v>
      </c>
      <c r="C4249" t="s">
        <v>2481</v>
      </c>
      <c r="D4249" t="s">
        <v>4232</v>
      </c>
      <c r="E4249" s="2"/>
      <c r="F4249" t="s">
        <v>4023</v>
      </c>
      <c r="G4249" t="s">
        <v>4024</v>
      </c>
      <c r="H4249" t="s">
        <v>4024</v>
      </c>
      <c r="I4249"/>
    </row>
    <row r="4250" spans="1:9">
      <c r="A4250" t="s">
        <v>4228</v>
      </c>
      <c r="B4250" s="1" t="str">
        <f>"20180119"</f>
        <v>20180119</v>
      </c>
      <c r="C4250" t="s">
        <v>4233</v>
      </c>
      <c r="D4250" t="s">
        <v>4234</v>
      </c>
      <c r="E4250" s="2"/>
      <c r="F4250" t="s">
        <v>4235</v>
      </c>
      <c r="G4250" t="s">
        <v>227</v>
      </c>
      <c r="H4250" t="s">
        <v>227</v>
      </c>
      <c r="I4250"/>
    </row>
    <row r="4251" spans="1:9">
      <c r="A4251" t="s">
        <v>4228</v>
      </c>
      <c r="B4251" s="1" t="str">
        <f>"20180118"</f>
        <v>20180118</v>
      </c>
      <c r="C4251" t="s">
        <v>4233</v>
      </c>
      <c r="D4251" t="s">
        <v>4236</v>
      </c>
      <c r="E4251" s="2"/>
      <c r="F4251" t="s">
        <v>4237</v>
      </c>
      <c r="G4251" t="s">
        <v>1310</v>
      </c>
      <c r="H4251" t="s">
        <v>1310</v>
      </c>
      <c r="I4251"/>
    </row>
    <row r="4252" spans="1:9">
      <c r="A4252" t="s">
        <v>4238</v>
      </c>
      <c r="B4252" s="1" t="str">
        <f>"20115609"</f>
        <v>20115609</v>
      </c>
      <c r="C4252" t="s">
        <v>4239</v>
      </c>
      <c r="D4252" t="s">
        <v>4240</v>
      </c>
      <c r="E4252" s="2"/>
      <c r="F4252" t="s">
        <v>380</v>
      </c>
      <c r="G4252" t="s">
        <v>189</v>
      </c>
      <c r="H4252" t="s">
        <v>189</v>
      </c>
      <c r="I4252"/>
    </row>
    <row r="4253" spans="1:9">
      <c r="A4253" t="s">
        <v>4238</v>
      </c>
      <c r="B4253" s="1" t="str">
        <f>"20115609.2"</f>
        <v>20115609.2</v>
      </c>
      <c r="C4253" t="s">
        <v>4239</v>
      </c>
      <c r="D4253" t="s">
        <v>4240</v>
      </c>
      <c r="E4253" s="2"/>
      <c r="F4253" t="s">
        <v>380</v>
      </c>
      <c r="G4253" t="s">
        <v>189</v>
      </c>
      <c r="H4253" t="s">
        <v>1453</v>
      </c>
      <c r="I4253"/>
    </row>
    <row r="4254" spans="1:9">
      <c r="A4254" t="s">
        <v>4238</v>
      </c>
      <c r="B4254" s="1" t="str">
        <f>"20950083"</f>
        <v>20950083</v>
      </c>
      <c r="C4254" t="s">
        <v>2481</v>
      </c>
      <c r="D4254" t="s">
        <v>4241</v>
      </c>
      <c r="E4254" s="2"/>
      <c r="F4254" t="s">
        <v>1501</v>
      </c>
      <c r="G4254" t="s">
        <v>4024</v>
      </c>
      <c r="H4254" t="s">
        <v>4024</v>
      </c>
      <c r="I4254"/>
    </row>
    <row r="4255" spans="1:9">
      <c r="A4255" t="s">
        <v>4238</v>
      </c>
      <c r="B4255" s="1" t="str">
        <f>"20212814"</f>
        <v>20212814</v>
      </c>
      <c r="C4255" t="s">
        <v>2481</v>
      </c>
      <c r="D4255" t="s">
        <v>4242</v>
      </c>
      <c r="E4255" s="2"/>
      <c r="F4255" t="s">
        <v>1501</v>
      </c>
      <c r="G4255"/>
      <c r="H4255" t="s">
        <v>4243</v>
      </c>
      <c r="I4255"/>
    </row>
    <row r="4256" spans="1:9">
      <c r="A4256" t="s">
        <v>4238</v>
      </c>
      <c r="B4256" s="1" t="str">
        <f>"20950084"</f>
        <v>20950084</v>
      </c>
      <c r="C4256" t="s">
        <v>2481</v>
      </c>
      <c r="D4256" t="s">
        <v>4244</v>
      </c>
      <c r="E4256" s="2"/>
      <c r="F4256" t="s">
        <v>1501</v>
      </c>
      <c r="G4256" t="s">
        <v>4024</v>
      </c>
      <c r="H4256" t="s">
        <v>4024</v>
      </c>
      <c r="I4256"/>
    </row>
    <row r="4257" spans="1:9">
      <c r="A4257" t="s">
        <v>4238</v>
      </c>
      <c r="B4257" s="1" t="str">
        <f>"20212812"</f>
        <v>20212812</v>
      </c>
      <c r="C4257"/>
      <c r="D4257" t="s">
        <v>4245</v>
      </c>
      <c r="E4257" s="2"/>
      <c r="F4257" t="s">
        <v>1501</v>
      </c>
      <c r="G4257"/>
      <c r="H4257" t="s">
        <v>4243</v>
      </c>
      <c r="I4257"/>
    </row>
    <row r="4258" spans="1:9">
      <c r="A4258" t="s">
        <v>4238</v>
      </c>
      <c r="B4258" s="1" t="str">
        <f>"20212816"</f>
        <v>20212816</v>
      </c>
      <c r="C4258" t="s">
        <v>4005</v>
      </c>
      <c r="D4258" t="s">
        <v>4246</v>
      </c>
      <c r="E4258" s="2"/>
      <c r="F4258" t="s">
        <v>1501</v>
      </c>
      <c r="G4258"/>
      <c r="H4258" t="s">
        <v>4247</v>
      </c>
      <c r="I4258"/>
    </row>
    <row r="4259" spans="1:9">
      <c r="A4259" t="s">
        <v>4238</v>
      </c>
      <c r="B4259" s="1" t="str">
        <f>"20212815"</f>
        <v>20212815</v>
      </c>
      <c r="C4259" t="s">
        <v>4248</v>
      </c>
      <c r="D4259" t="s">
        <v>4249</v>
      </c>
      <c r="E4259" s="2"/>
      <c r="F4259" t="s">
        <v>1501</v>
      </c>
      <c r="G4259"/>
      <c r="H4259" t="s">
        <v>4243</v>
      </c>
      <c r="I4259"/>
    </row>
    <row r="4260" spans="1:9">
      <c r="A4260" t="s">
        <v>4238</v>
      </c>
      <c r="B4260" s="1" t="str">
        <f>"20950082"</f>
        <v>20950082</v>
      </c>
      <c r="C4260" t="s">
        <v>4250</v>
      </c>
      <c r="D4260" t="s">
        <v>4251</v>
      </c>
      <c r="E4260" s="2"/>
      <c r="F4260" t="s">
        <v>1501</v>
      </c>
      <c r="G4260" t="s">
        <v>4024</v>
      </c>
      <c r="H4260" t="s">
        <v>4024</v>
      </c>
      <c r="I4260"/>
    </row>
    <row r="4261" spans="1:9">
      <c r="A4261" t="s">
        <v>4252</v>
      </c>
      <c r="B4261" s="1" t="str">
        <f>"20035464"</f>
        <v>20035464</v>
      </c>
      <c r="C4261" t="s">
        <v>4253</v>
      </c>
      <c r="D4261" t="s">
        <v>4254</v>
      </c>
      <c r="E4261" s="2"/>
      <c r="F4261" t="s">
        <v>380</v>
      </c>
      <c r="G4261" t="s">
        <v>25</v>
      </c>
      <c r="H4261" t="s">
        <v>25</v>
      </c>
      <c r="I4261"/>
    </row>
    <row r="4262" spans="1:9">
      <c r="A4262" t="s">
        <v>4252</v>
      </c>
      <c r="B4262" s="1" t="str">
        <f>"20035464.2"</f>
        <v>20035464.2</v>
      </c>
      <c r="C4262" t="s">
        <v>4253</v>
      </c>
      <c r="D4262" t="s">
        <v>4254</v>
      </c>
      <c r="E4262" s="2"/>
      <c r="F4262" t="s">
        <v>380</v>
      </c>
      <c r="G4262" t="s">
        <v>25</v>
      </c>
      <c r="H4262" t="s">
        <v>332</v>
      </c>
      <c r="I4262"/>
    </row>
    <row r="4263" spans="1:9">
      <c r="A4263" t="s">
        <v>4255</v>
      </c>
      <c r="B4263" s="1" t="str">
        <f>"20094898"</f>
        <v>20094898</v>
      </c>
      <c r="C4263" t="s">
        <v>2481</v>
      </c>
      <c r="D4263" t="s">
        <v>4256</v>
      </c>
      <c r="E4263" s="2"/>
      <c r="F4263" t="s">
        <v>4257</v>
      </c>
      <c r="G4263" t="s">
        <v>4258</v>
      </c>
      <c r="H4263" t="s">
        <v>337</v>
      </c>
      <c r="I4263"/>
    </row>
    <row r="4264" spans="1:9">
      <c r="A4264" t="s">
        <v>4259</v>
      </c>
      <c r="B4264" s="1" t="str">
        <f>"12587763"</f>
        <v>12587763</v>
      </c>
      <c r="C4264" t="s">
        <v>4260</v>
      </c>
      <c r="D4264" t="s">
        <v>4261</v>
      </c>
      <c r="E4264" s="2"/>
      <c r="F4264" t="s">
        <v>24</v>
      </c>
      <c r="G4264" t="s">
        <v>4262</v>
      </c>
      <c r="H4264" t="s">
        <v>240</v>
      </c>
      <c r="I4264"/>
    </row>
    <row r="4265" spans="1:9">
      <c r="A4265" t="s">
        <v>4259</v>
      </c>
      <c r="B4265" s="1" t="str">
        <f>"26313056"</f>
        <v>26313056</v>
      </c>
      <c r="C4265" t="s">
        <v>4263</v>
      </c>
      <c r="D4265" t="s">
        <v>4264</v>
      </c>
      <c r="E4265" s="2"/>
      <c r="F4265" t="s">
        <v>380</v>
      </c>
      <c r="G4265" t="s">
        <v>25</v>
      </c>
      <c r="H4265" t="s">
        <v>25</v>
      </c>
      <c r="I4265"/>
    </row>
    <row r="4266" spans="1:9">
      <c r="A4266" t="s">
        <v>4259</v>
      </c>
      <c r="B4266" s="1" t="str">
        <f>"26313056.2"</f>
        <v>26313056.2</v>
      </c>
      <c r="C4266" t="s">
        <v>4263</v>
      </c>
      <c r="D4266" t="s">
        <v>4264</v>
      </c>
      <c r="E4266" s="2"/>
      <c r="F4266" t="s">
        <v>380</v>
      </c>
      <c r="G4266" t="s">
        <v>25</v>
      </c>
      <c r="H4266" t="s">
        <v>332</v>
      </c>
      <c r="I4266"/>
    </row>
    <row r="4267" spans="1:9">
      <c r="A4267" t="s">
        <v>4259</v>
      </c>
      <c r="B4267" s="1" t="str">
        <f>"20628253"</f>
        <v>20628253</v>
      </c>
      <c r="C4267" t="s">
        <v>4263</v>
      </c>
      <c r="D4267" t="s">
        <v>4265</v>
      </c>
      <c r="E4267" s="2"/>
      <c r="F4267" t="s">
        <v>380</v>
      </c>
      <c r="G4267" t="s">
        <v>25</v>
      </c>
      <c r="H4267" t="s">
        <v>25</v>
      </c>
      <c r="I4267"/>
    </row>
    <row r="4268" spans="1:9">
      <c r="A4268" t="s">
        <v>4259</v>
      </c>
      <c r="B4268" s="1" t="str">
        <f>"20628253.2"</f>
        <v>20628253.2</v>
      </c>
      <c r="C4268" t="s">
        <v>4263</v>
      </c>
      <c r="D4268" t="s">
        <v>4265</v>
      </c>
      <c r="E4268" s="2"/>
      <c r="F4268" t="s">
        <v>380</v>
      </c>
      <c r="G4268" t="s">
        <v>25</v>
      </c>
      <c r="H4268" t="s">
        <v>332</v>
      </c>
      <c r="I4268"/>
    </row>
    <row r="4269" spans="1:9">
      <c r="A4269" t="s">
        <v>4259</v>
      </c>
      <c r="B4269" s="1" t="str">
        <f>"12587762"</f>
        <v>12587762</v>
      </c>
      <c r="C4269" t="s">
        <v>4266</v>
      </c>
      <c r="D4269" t="s">
        <v>4267</v>
      </c>
      <c r="E4269" s="2"/>
      <c r="F4269" t="s">
        <v>4268</v>
      </c>
      <c r="G4269" t="s">
        <v>29</v>
      </c>
      <c r="H4269" t="s">
        <v>332</v>
      </c>
      <c r="I4269"/>
    </row>
    <row r="4270" spans="1:9">
      <c r="A4270" t="s">
        <v>4269</v>
      </c>
      <c r="B4270" s="1" t="str">
        <f>"20016475"</f>
        <v>20016475</v>
      </c>
      <c r="C4270" t="s">
        <v>2481</v>
      </c>
      <c r="D4270" t="s">
        <v>4270</v>
      </c>
      <c r="E4270" s="2"/>
      <c r="F4270"/>
      <c r="G4270" t="s">
        <v>80</v>
      </c>
      <c r="H4270" t="s">
        <v>80</v>
      </c>
      <c r="I4270"/>
    </row>
    <row r="4271" spans="1:9">
      <c r="A4271" t="s">
        <v>4269</v>
      </c>
      <c r="B4271" s="1" t="str">
        <f>"20016471"</f>
        <v>20016471</v>
      </c>
      <c r="C4271" t="s">
        <v>2481</v>
      </c>
      <c r="D4271" t="s">
        <v>4271</v>
      </c>
      <c r="E4271" s="2"/>
      <c r="F4271"/>
      <c r="G4271" t="s">
        <v>177</v>
      </c>
      <c r="H4271" t="s">
        <v>177</v>
      </c>
      <c r="I4271"/>
    </row>
    <row r="4272" spans="1:9">
      <c r="A4272" t="s">
        <v>4269</v>
      </c>
      <c r="B4272" s="1" t="str">
        <f>"20151454"</f>
        <v>20151454</v>
      </c>
      <c r="C4272" t="s">
        <v>4272</v>
      </c>
      <c r="D4272" t="s">
        <v>4273</v>
      </c>
      <c r="E4272" s="2"/>
      <c r="F4272"/>
      <c r="G4272" t="s">
        <v>4052</v>
      </c>
      <c r="H4272" t="s">
        <v>4052</v>
      </c>
      <c r="I4272"/>
    </row>
    <row r="4273" spans="1:9">
      <c r="A4273" t="s">
        <v>4269</v>
      </c>
      <c r="B4273" s="1" t="str">
        <f>"20151454.2"</f>
        <v>20151454.2</v>
      </c>
      <c r="C4273" t="s">
        <v>4272</v>
      </c>
      <c r="D4273" t="s">
        <v>4273</v>
      </c>
      <c r="E4273" s="2"/>
      <c r="F4273"/>
      <c r="G4273" t="s">
        <v>4052</v>
      </c>
      <c r="H4273" t="s">
        <v>2539</v>
      </c>
      <c r="I4273"/>
    </row>
    <row r="4274" spans="1:9">
      <c r="A4274" t="s">
        <v>4269</v>
      </c>
      <c r="B4274" s="1" t="str">
        <f>"20155278"</f>
        <v>20155278</v>
      </c>
      <c r="C4274" t="s">
        <v>4272</v>
      </c>
      <c r="D4274" t="s">
        <v>4274</v>
      </c>
      <c r="E4274" s="2"/>
      <c r="F4274"/>
      <c r="G4274" t="s">
        <v>82</v>
      </c>
      <c r="H4274" t="s">
        <v>82</v>
      </c>
      <c r="I4274"/>
    </row>
    <row r="4275" spans="1:9">
      <c r="A4275" t="s">
        <v>4269</v>
      </c>
      <c r="B4275" s="1" t="str">
        <f>"20155278.2"</f>
        <v>20155278.2</v>
      </c>
      <c r="C4275" t="s">
        <v>4272</v>
      </c>
      <c r="D4275" t="s">
        <v>4274</v>
      </c>
      <c r="E4275" s="2"/>
      <c r="F4275"/>
      <c r="G4275" t="s">
        <v>82</v>
      </c>
      <c r="H4275" t="s">
        <v>218</v>
      </c>
      <c r="I4275"/>
    </row>
    <row r="4276" spans="1:9">
      <c r="A4276" t="s">
        <v>4269</v>
      </c>
      <c r="B4276" s="1" t="str">
        <f>"20023669"</f>
        <v>20023669</v>
      </c>
      <c r="C4276" t="s">
        <v>4272</v>
      </c>
      <c r="D4276" t="s">
        <v>4275</v>
      </c>
      <c r="E4276" s="2"/>
      <c r="F4276"/>
      <c r="G4276" t="s">
        <v>82</v>
      </c>
      <c r="H4276" t="s">
        <v>82</v>
      </c>
      <c r="I4276"/>
    </row>
    <row r="4277" spans="1:9">
      <c r="A4277" t="s">
        <v>4269</v>
      </c>
      <c r="B4277" s="1" t="str">
        <f>"20023669.2"</f>
        <v>20023669.2</v>
      </c>
      <c r="C4277" t="s">
        <v>4272</v>
      </c>
      <c r="D4277" t="s">
        <v>4275</v>
      </c>
      <c r="E4277" s="2"/>
      <c r="F4277"/>
      <c r="G4277" t="s">
        <v>82</v>
      </c>
      <c r="H4277" t="s">
        <v>218</v>
      </c>
      <c r="I4277"/>
    </row>
    <row r="4278" spans="1:9">
      <c r="A4278" t="s">
        <v>4269</v>
      </c>
      <c r="B4278" s="1" t="str">
        <f>"20803759"</f>
        <v>20803759</v>
      </c>
      <c r="C4278" t="s">
        <v>4272</v>
      </c>
      <c r="D4278" t="s">
        <v>4276</v>
      </c>
      <c r="E4278" s="2"/>
      <c r="F4278"/>
      <c r="G4278" t="s">
        <v>82</v>
      </c>
      <c r="H4278" t="s">
        <v>82</v>
      </c>
      <c r="I4278"/>
    </row>
    <row r="4279" spans="1:9">
      <c r="A4279" t="s">
        <v>4269</v>
      </c>
      <c r="B4279" s="1" t="str">
        <f>"20803759.2"</f>
        <v>20803759.2</v>
      </c>
      <c r="C4279" t="s">
        <v>4272</v>
      </c>
      <c r="D4279" t="s">
        <v>4276</v>
      </c>
      <c r="E4279" s="2"/>
      <c r="F4279"/>
      <c r="G4279" t="s">
        <v>82</v>
      </c>
      <c r="H4279" t="s">
        <v>218</v>
      </c>
      <c r="I4279"/>
    </row>
    <row r="4280" spans="1:9">
      <c r="A4280" t="s">
        <v>4269</v>
      </c>
      <c r="B4280" s="1" t="str">
        <f>"20047481"</f>
        <v>20047481</v>
      </c>
      <c r="C4280" t="s">
        <v>4277</v>
      </c>
      <c r="D4280" t="s">
        <v>4278</v>
      </c>
      <c r="E4280" s="2"/>
      <c r="F4280"/>
      <c r="G4280" t="s">
        <v>82</v>
      </c>
      <c r="H4280" t="s">
        <v>82</v>
      </c>
      <c r="I4280"/>
    </row>
    <row r="4281" spans="1:9">
      <c r="A4281" t="s">
        <v>4269</v>
      </c>
      <c r="B4281" s="1" t="str">
        <f>"20047481.2"</f>
        <v>20047481.2</v>
      </c>
      <c r="C4281" t="s">
        <v>4277</v>
      </c>
      <c r="D4281" t="s">
        <v>4278</v>
      </c>
      <c r="E4281" s="2"/>
      <c r="F4281"/>
      <c r="G4281" t="s">
        <v>82</v>
      </c>
      <c r="H4281" t="s">
        <v>218</v>
      </c>
      <c r="I4281"/>
    </row>
    <row r="4282" spans="1:9">
      <c r="A4282" t="s">
        <v>4269</v>
      </c>
      <c r="B4282" s="1" t="str">
        <f>"20020781"</f>
        <v>20020781</v>
      </c>
      <c r="C4282" t="s">
        <v>4277</v>
      </c>
      <c r="D4282" t="s">
        <v>4279</v>
      </c>
      <c r="E4282" s="2"/>
      <c r="F4282"/>
      <c r="G4282" t="s">
        <v>75</v>
      </c>
      <c r="H4282" t="s">
        <v>75</v>
      </c>
      <c r="I4282"/>
    </row>
    <row r="4283" spans="1:9">
      <c r="A4283" t="s">
        <v>4269</v>
      </c>
      <c r="B4283" s="1" t="str">
        <f>"20020781.2"</f>
        <v>20020781.2</v>
      </c>
      <c r="C4283" t="s">
        <v>4277</v>
      </c>
      <c r="D4283" t="s">
        <v>4279</v>
      </c>
      <c r="E4283" s="2"/>
      <c r="F4283"/>
      <c r="G4283" t="s">
        <v>75</v>
      </c>
      <c r="H4283" t="s">
        <v>218</v>
      </c>
      <c r="I4283"/>
    </row>
    <row r="4284" spans="1:9">
      <c r="A4284" t="s">
        <v>4269</v>
      </c>
      <c r="B4284" s="1" t="str">
        <f>"20092023"</f>
        <v>20092023</v>
      </c>
      <c r="C4284" t="s">
        <v>4277</v>
      </c>
      <c r="D4284" t="s">
        <v>4280</v>
      </c>
      <c r="E4284" s="2"/>
      <c r="F4284"/>
      <c r="G4284" t="s">
        <v>82</v>
      </c>
      <c r="H4284" t="s">
        <v>82</v>
      </c>
      <c r="I4284"/>
    </row>
    <row r="4285" spans="1:9">
      <c r="A4285" t="s">
        <v>4269</v>
      </c>
      <c r="B4285" s="1" t="str">
        <f>"20092023.2"</f>
        <v>20092023.2</v>
      </c>
      <c r="C4285" t="s">
        <v>4277</v>
      </c>
      <c r="D4285" t="s">
        <v>4280</v>
      </c>
      <c r="E4285" s="2"/>
      <c r="F4285"/>
      <c r="G4285" t="s">
        <v>82</v>
      </c>
      <c r="H4285" t="s">
        <v>218</v>
      </c>
      <c r="I4285"/>
    </row>
    <row r="4286" spans="1:9">
      <c r="A4286" t="s">
        <v>4281</v>
      </c>
      <c r="B4286" s="1" t="str">
        <f>"20032890"</f>
        <v>20032890</v>
      </c>
      <c r="C4286" t="s">
        <v>4282</v>
      </c>
      <c r="D4286" t="s">
        <v>4283</v>
      </c>
      <c r="E4286" s="2"/>
      <c r="F4286" t="s">
        <v>380</v>
      </c>
      <c r="G4286" t="s">
        <v>189</v>
      </c>
      <c r="H4286" t="s">
        <v>189</v>
      </c>
      <c r="I4286"/>
    </row>
    <row r="4287" spans="1:9">
      <c r="A4287" t="s">
        <v>4281</v>
      </c>
      <c r="B4287" s="1" t="str">
        <f>"20032890.2"</f>
        <v>20032890.2</v>
      </c>
      <c r="C4287" t="s">
        <v>4282</v>
      </c>
      <c r="D4287" t="s">
        <v>4283</v>
      </c>
      <c r="E4287" s="2"/>
      <c r="F4287" t="s">
        <v>380</v>
      </c>
      <c r="G4287" t="s">
        <v>189</v>
      </c>
      <c r="H4287" t="s">
        <v>1453</v>
      </c>
      <c r="I4287"/>
    </row>
    <row r="4288" spans="1:9">
      <c r="A4288" t="s">
        <v>4281</v>
      </c>
      <c r="B4288" s="1" t="str">
        <f>"20036188"</f>
        <v>20036188</v>
      </c>
      <c r="C4288" t="s">
        <v>4282</v>
      </c>
      <c r="D4288" t="s">
        <v>4284</v>
      </c>
      <c r="E4288" s="2"/>
      <c r="F4288" t="s">
        <v>1461</v>
      </c>
      <c r="G4288" t="s">
        <v>122</v>
      </c>
      <c r="H4288" t="s">
        <v>122</v>
      </c>
      <c r="I4288"/>
    </row>
    <row r="4289" spans="1:9">
      <c r="A4289" t="s">
        <v>4281</v>
      </c>
      <c r="B4289" s="1" t="str">
        <f>"20036188.2"</f>
        <v>20036188.2</v>
      </c>
      <c r="C4289" t="s">
        <v>4282</v>
      </c>
      <c r="D4289" t="s">
        <v>4284</v>
      </c>
      <c r="E4289" s="2"/>
      <c r="F4289" t="s">
        <v>1461</v>
      </c>
      <c r="G4289" t="s">
        <v>122</v>
      </c>
      <c r="H4289" t="s">
        <v>383</v>
      </c>
      <c r="I4289"/>
    </row>
    <row r="4290" spans="1:9">
      <c r="A4290" t="s">
        <v>4281</v>
      </c>
      <c r="B4290" s="1" t="str">
        <f>"20032692"</f>
        <v>20032692</v>
      </c>
      <c r="C4290" t="s">
        <v>4282</v>
      </c>
      <c r="D4290" t="s">
        <v>4285</v>
      </c>
      <c r="E4290" s="2"/>
      <c r="F4290" t="s">
        <v>1461</v>
      </c>
      <c r="G4290" t="s">
        <v>122</v>
      </c>
      <c r="H4290" t="s">
        <v>122</v>
      </c>
      <c r="I4290"/>
    </row>
    <row r="4291" spans="1:9">
      <c r="A4291" t="s">
        <v>4281</v>
      </c>
      <c r="B4291" s="1" t="str">
        <f>"20032692.2"</f>
        <v>20032692.2</v>
      </c>
      <c r="C4291" t="s">
        <v>4282</v>
      </c>
      <c r="D4291" t="s">
        <v>4285</v>
      </c>
      <c r="E4291" s="2"/>
      <c r="F4291" t="s">
        <v>1461</v>
      </c>
      <c r="G4291" t="s">
        <v>122</v>
      </c>
      <c r="H4291" t="s">
        <v>383</v>
      </c>
      <c r="I4291"/>
    </row>
    <row r="4292" spans="1:9">
      <c r="A4292" t="s">
        <v>4281</v>
      </c>
      <c r="B4292" s="1" t="str">
        <f>"20190032"</f>
        <v>20190032</v>
      </c>
      <c r="C4292" t="s">
        <v>2481</v>
      </c>
      <c r="D4292" t="s">
        <v>4286</v>
      </c>
      <c r="E4292" s="2"/>
      <c r="F4292" t="s">
        <v>2346</v>
      </c>
      <c r="G4292" t="s">
        <v>189</v>
      </c>
      <c r="H4292" t="s">
        <v>189</v>
      </c>
      <c r="I4292"/>
    </row>
    <row r="4293" spans="1:9">
      <c r="A4293" t="s">
        <v>4281</v>
      </c>
      <c r="B4293" s="1" t="str">
        <f>"20190033"</f>
        <v>20190033</v>
      </c>
      <c r="C4293" t="s">
        <v>2481</v>
      </c>
      <c r="D4293" t="s">
        <v>4287</v>
      </c>
      <c r="E4293" s="2"/>
      <c r="F4293"/>
      <c r="G4293" t="s">
        <v>4288</v>
      </c>
      <c r="H4293" t="s">
        <v>4288</v>
      </c>
      <c r="I4293"/>
    </row>
    <row r="4294" spans="1:9">
      <c r="A4294" t="s">
        <v>4281</v>
      </c>
      <c r="B4294" s="1" t="str">
        <f>"20016476"</f>
        <v>20016476</v>
      </c>
      <c r="C4294" t="s">
        <v>2481</v>
      </c>
      <c r="D4294" t="s">
        <v>4289</v>
      </c>
      <c r="E4294" s="2"/>
      <c r="F4294" t="s">
        <v>1461</v>
      </c>
      <c r="G4294" t="s">
        <v>122</v>
      </c>
      <c r="H4294" t="s">
        <v>122</v>
      </c>
      <c r="I4294"/>
    </row>
    <row r="4295" spans="1:9">
      <c r="A4295" t="s">
        <v>4281</v>
      </c>
      <c r="B4295" s="1" t="str">
        <f>"20016478"</f>
        <v>20016478</v>
      </c>
      <c r="C4295" t="s">
        <v>2481</v>
      </c>
      <c r="D4295" t="s">
        <v>4290</v>
      </c>
      <c r="E4295" s="2"/>
      <c r="F4295" t="s">
        <v>1461</v>
      </c>
      <c r="G4295" t="s">
        <v>122</v>
      </c>
      <c r="H4295" t="s">
        <v>156</v>
      </c>
      <c r="I4295"/>
    </row>
    <row r="4296" spans="1:9">
      <c r="A4296" t="s">
        <v>4281</v>
      </c>
      <c r="B4296" s="1" t="str">
        <f>"20837743"</f>
        <v>20837743</v>
      </c>
      <c r="C4296" t="s">
        <v>4036</v>
      </c>
      <c r="D4296" t="s">
        <v>4291</v>
      </c>
      <c r="E4296" s="2"/>
      <c r="F4296" t="s">
        <v>206</v>
      </c>
      <c r="G4296" t="s">
        <v>122</v>
      </c>
      <c r="H4296" t="s">
        <v>156</v>
      </c>
      <c r="I4296"/>
    </row>
    <row r="4297" spans="1:9">
      <c r="A4297" t="s">
        <v>4281</v>
      </c>
      <c r="B4297" s="1" t="str">
        <f>"20837744"</f>
        <v>20837744</v>
      </c>
      <c r="C4297" t="s">
        <v>4036</v>
      </c>
      <c r="D4297" t="s">
        <v>4292</v>
      </c>
      <c r="E4297" s="2"/>
      <c r="F4297" t="s">
        <v>206</v>
      </c>
      <c r="G4297" t="s">
        <v>122</v>
      </c>
      <c r="H4297" t="s">
        <v>122</v>
      </c>
      <c r="I4297"/>
    </row>
    <row r="4298" spans="1:9">
      <c r="A4298" t="s">
        <v>4281</v>
      </c>
      <c r="B4298" s="1" t="str">
        <f>"20837732"</f>
        <v>20837732</v>
      </c>
      <c r="C4298" t="s">
        <v>4293</v>
      </c>
      <c r="D4298" t="s">
        <v>4294</v>
      </c>
      <c r="E4298" s="2"/>
      <c r="F4298" t="s">
        <v>206</v>
      </c>
      <c r="G4298" t="s">
        <v>122</v>
      </c>
      <c r="H4298" t="s">
        <v>122</v>
      </c>
      <c r="I4298"/>
    </row>
    <row r="4299" spans="1:9">
      <c r="A4299" t="s">
        <v>4281</v>
      </c>
      <c r="B4299" s="1" t="str">
        <f>"20837733"</f>
        <v>20837733</v>
      </c>
      <c r="C4299" t="s">
        <v>4293</v>
      </c>
      <c r="D4299" t="s">
        <v>4295</v>
      </c>
      <c r="E4299" s="2"/>
      <c r="F4299" t="s">
        <v>1501</v>
      </c>
      <c r="G4299" t="s">
        <v>122</v>
      </c>
      <c r="H4299" t="s">
        <v>122</v>
      </c>
      <c r="I4299"/>
    </row>
    <row r="4300" spans="1:9">
      <c r="A4300" t="s">
        <v>4281</v>
      </c>
      <c r="B4300" s="1" t="str">
        <f>"20532062"</f>
        <v>20532062</v>
      </c>
      <c r="C4300" t="s">
        <v>4272</v>
      </c>
      <c r="D4300" t="s">
        <v>4296</v>
      </c>
      <c r="E4300" s="2"/>
      <c r="F4300" t="s">
        <v>206</v>
      </c>
      <c r="G4300" t="s">
        <v>122</v>
      </c>
      <c r="H4300" t="s">
        <v>122</v>
      </c>
      <c r="I4300"/>
    </row>
    <row r="4301" spans="1:9">
      <c r="A4301" t="s">
        <v>4281</v>
      </c>
      <c r="B4301" s="1" t="str">
        <f>"20532062.2"</f>
        <v>20532062.2</v>
      </c>
      <c r="C4301" t="s">
        <v>4272</v>
      </c>
      <c r="D4301" t="s">
        <v>4296</v>
      </c>
      <c r="E4301" s="2"/>
      <c r="F4301" t="s">
        <v>206</v>
      </c>
      <c r="G4301" t="s">
        <v>122</v>
      </c>
      <c r="H4301" t="s">
        <v>383</v>
      </c>
      <c r="I4301"/>
    </row>
    <row r="4302" spans="1:9">
      <c r="A4302" t="s">
        <v>4281</v>
      </c>
      <c r="B4302" s="1" t="str">
        <f>"20343387"</f>
        <v>20343387</v>
      </c>
      <c r="C4302" t="s">
        <v>4272</v>
      </c>
      <c r="D4302" t="s">
        <v>4297</v>
      </c>
      <c r="E4302" s="2"/>
      <c r="F4302" t="s">
        <v>206</v>
      </c>
      <c r="G4302" t="s">
        <v>122</v>
      </c>
      <c r="H4302" t="s">
        <v>122</v>
      </c>
      <c r="I4302"/>
    </row>
    <row r="4303" spans="1:9">
      <c r="A4303" t="s">
        <v>4281</v>
      </c>
      <c r="B4303" s="1" t="str">
        <f>"20343387.2"</f>
        <v>20343387.2</v>
      </c>
      <c r="C4303" t="s">
        <v>4272</v>
      </c>
      <c r="D4303" t="s">
        <v>4297</v>
      </c>
      <c r="E4303" s="2"/>
      <c r="F4303" t="s">
        <v>206</v>
      </c>
      <c r="G4303" t="s">
        <v>122</v>
      </c>
      <c r="H4303" t="s">
        <v>383</v>
      </c>
      <c r="I4303"/>
    </row>
    <row r="4304" spans="1:9">
      <c r="A4304" t="s">
        <v>4281</v>
      </c>
      <c r="B4304" s="1" t="str">
        <f>"20046880"</f>
        <v>20046880</v>
      </c>
      <c r="C4304" t="s">
        <v>4272</v>
      </c>
      <c r="D4304" t="s">
        <v>4298</v>
      </c>
      <c r="E4304" s="2"/>
      <c r="F4304" t="s">
        <v>206</v>
      </c>
      <c r="G4304" t="s">
        <v>122</v>
      </c>
      <c r="H4304" t="s">
        <v>122</v>
      </c>
      <c r="I4304"/>
    </row>
    <row r="4305" spans="1:9">
      <c r="A4305" t="s">
        <v>4281</v>
      </c>
      <c r="B4305" s="1" t="str">
        <f>"20046880.2"</f>
        <v>20046880.2</v>
      </c>
      <c r="C4305" t="s">
        <v>4272</v>
      </c>
      <c r="D4305" t="s">
        <v>4298</v>
      </c>
      <c r="E4305" s="2"/>
      <c r="F4305" t="s">
        <v>206</v>
      </c>
      <c r="G4305" t="s">
        <v>122</v>
      </c>
      <c r="H4305" t="s">
        <v>383</v>
      </c>
      <c r="I4305"/>
    </row>
    <row r="4306" spans="1:9">
      <c r="A4306" t="s">
        <v>4281</v>
      </c>
      <c r="B4306" s="1" t="str">
        <f>"20016539"</f>
        <v>20016539</v>
      </c>
      <c r="C4306" t="s">
        <v>4005</v>
      </c>
      <c r="D4306" t="s">
        <v>4299</v>
      </c>
      <c r="E4306" s="2"/>
      <c r="F4306" t="s">
        <v>206</v>
      </c>
      <c r="G4306" t="s">
        <v>25</v>
      </c>
      <c r="H4306" t="s">
        <v>25</v>
      </c>
      <c r="I4306"/>
    </row>
    <row r="4307" spans="1:9">
      <c r="A4307" t="s">
        <v>4281</v>
      </c>
      <c r="B4307" s="1" t="str">
        <f>"20016539.2"</f>
        <v>20016539.2</v>
      </c>
      <c r="C4307" t="s">
        <v>4005</v>
      </c>
      <c r="D4307" t="s">
        <v>4299</v>
      </c>
      <c r="E4307" s="2"/>
      <c r="F4307" t="s">
        <v>206</v>
      </c>
      <c r="G4307" t="s">
        <v>25</v>
      </c>
      <c r="H4307" t="s">
        <v>332</v>
      </c>
      <c r="I4307"/>
    </row>
    <row r="4308" spans="1:9">
      <c r="A4308" t="s">
        <v>4281</v>
      </c>
      <c r="B4308" s="1" t="str">
        <f>"20543860"</f>
        <v>20543860</v>
      </c>
      <c r="C4308" t="s">
        <v>4005</v>
      </c>
      <c r="D4308" t="s">
        <v>4300</v>
      </c>
      <c r="E4308" s="2"/>
      <c r="F4308" t="s">
        <v>206</v>
      </c>
      <c r="G4308" t="s">
        <v>122</v>
      </c>
      <c r="H4308" t="s">
        <v>122</v>
      </c>
      <c r="I4308"/>
    </row>
    <row r="4309" spans="1:9">
      <c r="A4309" t="s">
        <v>4281</v>
      </c>
      <c r="B4309" s="1" t="str">
        <f>"20543860.2"</f>
        <v>20543860.2</v>
      </c>
      <c r="C4309" t="s">
        <v>4005</v>
      </c>
      <c r="D4309" t="s">
        <v>4300</v>
      </c>
      <c r="E4309" s="2"/>
      <c r="F4309" t="s">
        <v>206</v>
      </c>
      <c r="G4309" t="s">
        <v>122</v>
      </c>
      <c r="H4309" t="s">
        <v>383</v>
      </c>
      <c r="I4309"/>
    </row>
    <row r="4310" spans="1:9">
      <c r="A4310" t="s">
        <v>4301</v>
      </c>
      <c r="B4310" s="1" t="str">
        <f>"20180917"</f>
        <v>20180917</v>
      </c>
      <c r="C4310" t="s">
        <v>4302</v>
      </c>
      <c r="D4310" t="s">
        <v>4303</v>
      </c>
      <c r="E4310" s="2"/>
      <c r="F4310" t="s">
        <v>206</v>
      </c>
      <c r="G4310" t="s">
        <v>25</v>
      </c>
      <c r="H4310" t="s">
        <v>25</v>
      </c>
      <c r="I4310"/>
    </row>
    <row r="4311" spans="1:9">
      <c r="A4311" t="s">
        <v>4301</v>
      </c>
      <c r="B4311" s="1" t="str">
        <f>"20016523"</f>
        <v>20016523</v>
      </c>
      <c r="C4311" t="s">
        <v>4302</v>
      </c>
      <c r="D4311" t="s">
        <v>4304</v>
      </c>
      <c r="E4311" s="2"/>
      <c r="F4311" t="s">
        <v>206</v>
      </c>
      <c r="G4311" t="s">
        <v>25</v>
      </c>
      <c r="H4311" t="s">
        <v>25</v>
      </c>
      <c r="I4311"/>
    </row>
    <row r="4312" spans="1:9">
      <c r="A4312" t="s">
        <v>4301</v>
      </c>
      <c r="B4312" s="1" t="str">
        <f>"20168643"</f>
        <v>20168643</v>
      </c>
      <c r="C4312" t="s">
        <v>4204</v>
      </c>
      <c r="D4312" t="s">
        <v>4305</v>
      </c>
      <c r="E4312" s="2"/>
      <c r="F4312" t="s">
        <v>380</v>
      </c>
      <c r="G4312" t="s">
        <v>2948</v>
      </c>
      <c r="H4312" t="s">
        <v>2948</v>
      </c>
      <c r="I4312"/>
    </row>
    <row r="4313" spans="1:9">
      <c r="A4313" t="s">
        <v>4301</v>
      </c>
      <c r="B4313" s="1" t="str">
        <f>"20837734"</f>
        <v>20837734</v>
      </c>
      <c r="C4313" t="s">
        <v>4036</v>
      </c>
      <c r="D4313" t="s">
        <v>4306</v>
      </c>
      <c r="E4313" s="2"/>
      <c r="F4313" t="s">
        <v>380</v>
      </c>
      <c r="G4313" t="s">
        <v>25</v>
      </c>
      <c r="H4313" t="s">
        <v>25</v>
      </c>
      <c r="I4313"/>
    </row>
    <row r="4314" spans="1:9">
      <c r="A4314" t="s">
        <v>4301</v>
      </c>
      <c r="B4314" s="1" t="str">
        <f>"20020651"</f>
        <v>20020651</v>
      </c>
      <c r="C4314" t="s">
        <v>4005</v>
      </c>
      <c r="D4314" t="s">
        <v>4307</v>
      </c>
      <c r="E4314" s="2"/>
      <c r="F4314" t="s">
        <v>380</v>
      </c>
      <c r="G4314" t="s">
        <v>25</v>
      </c>
      <c r="H4314" t="s">
        <v>25</v>
      </c>
      <c r="I4314"/>
    </row>
    <row r="4315" spans="1:9">
      <c r="A4315" t="s">
        <v>4301</v>
      </c>
      <c r="B4315" s="1" t="str">
        <f>"20020651.2"</f>
        <v>20020651.2</v>
      </c>
      <c r="C4315" t="s">
        <v>4005</v>
      </c>
      <c r="D4315" t="s">
        <v>4307</v>
      </c>
      <c r="E4315" s="2"/>
      <c r="F4315" t="s">
        <v>380</v>
      </c>
      <c r="G4315" t="s">
        <v>25</v>
      </c>
      <c r="H4315" t="s">
        <v>332</v>
      </c>
      <c r="I4315"/>
    </row>
    <row r="4316" spans="1:9">
      <c r="A4316" t="s">
        <v>4301</v>
      </c>
      <c r="B4316" s="1" t="str">
        <f>"20550530"</f>
        <v>20550530</v>
      </c>
      <c r="C4316" t="s">
        <v>4005</v>
      </c>
      <c r="D4316" t="s">
        <v>4308</v>
      </c>
      <c r="E4316" s="2"/>
      <c r="F4316" t="s">
        <v>380</v>
      </c>
      <c r="G4316" t="s">
        <v>25</v>
      </c>
      <c r="H4316" t="s">
        <v>25</v>
      </c>
      <c r="I4316"/>
    </row>
    <row r="4317" spans="1:9">
      <c r="A4317" t="s">
        <v>4301</v>
      </c>
      <c r="B4317" s="1" t="str">
        <f>"20550530.2"</f>
        <v>20550530.2</v>
      </c>
      <c r="C4317" t="s">
        <v>4005</v>
      </c>
      <c r="D4317" t="s">
        <v>4308</v>
      </c>
      <c r="E4317" s="2"/>
      <c r="F4317" t="s">
        <v>380</v>
      </c>
      <c r="G4317" t="s">
        <v>25</v>
      </c>
      <c r="H4317" t="s">
        <v>332</v>
      </c>
      <c r="I4317"/>
    </row>
    <row r="4318" spans="1:9">
      <c r="A4318" t="s">
        <v>4301</v>
      </c>
      <c r="B4318" s="1" t="str">
        <f>"20016540"</f>
        <v>20016540</v>
      </c>
      <c r="C4318" t="s">
        <v>4005</v>
      </c>
      <c r="D4318" t="s">
        <v>4309</v>
      </c>
      <c r="E4318" s="2"/>
      <c r="F4318" t="s">
        <v>380</v>
      </c>
      <c r="G4318" t="s">
        <v>499</v>
      </c>
      <c r="H4318" t="s">
        <v>499</v>
      </c>
      <c r="I4318"/>
    </row>
    <row r="4319" spans="1:9">
      <c r="A4319" t="s">
        <v>4310</v>
      </c>
      <c r="B4319" s="1" t="str">
        <f>"20080358"</f>
        <v>20080358</v>
      </c>
      <c r="C4319" t="s">
        <v>4016</v>
      </c>
      <c r="D4319" t="s">
        <v>4311</v>
      </c>
      <c r="E4319" s="2"/>
      <c r="F4319" t="s">
        <v>79</v>
      </c>
      <c r="G4319" t="s">
        <v>632</v>
      </c>
      <c r="H4319" t="s">
        <v>632</v>
      </c>
      <c r="I4319"/>
    </row>
    <row r="4320" spans="1:9">
      <c r="A4320" t="s">
        <v>4310</v>
      </c>
      <c r="B4320" s="1" t="str">
        <f>"20037222"</f>
        <v>20037222</v>
      </c>
      <c r="C4320" t="s">
        <v>691</v>
      </c>
      <c r="D4320" t="s">
        <v>4312</v>
      </c>
      <c r="E4320" s="2"/>
      <c r="F4320" t="s">
        <v>380</v>
      </c>
      <c r="G4320" t="s">
        <v>632</v>
      </c>
      <c r="H4320" t="s">
        <v>632</v>
      </c>
      <c r="I4320"/>
    </row>
    <row r="4321" spans="1:9">
      <c r="A4321" t="s">
        <v>4310</v>
      </c>
      <c r="B4321" s="1" t="str">
        <f>"20702028"</f>
        <v>20702028</v>
      </c>
      <c r="C4321" t="s">
        <v>2481</v>
      </c>
      <c r="D4321" t="s">
        <v>4313</v>
      </c>
      <c r="E4321" s="2"/>
      <c r="F4321" t="s">
        <v>27</v>
      </c>
      <c r="G4321" t="s">
        <v>25</v>
      </c>
      <c r="H4321" t="s">
        <v>29</v>
      </c>
      <c r="I4321"/>
    </row>
    <row r="4322" spans="1:9">
      <c r="A4322" t="s">
        <v>4310</v>
      </c>
      <c r="B4322" s="1" t="str">
        <f>"26007314"</f>
        <v>26007314</v>
      </c>
      <c r="C4322" t="s">
        <v>2481</v>
      </c>
      <c r="D4322" t="s">
        <v>4314</v>
      </c>
      <c r="E4322" s="2"/>
      <c r="F4322" t="s">
        <v>66</v>
      </c>
      <c r="G4322" t="s">
        <v>370</v>
      </c>
      <c r="H4322" t="s">
        <v>370</v>
      </c>
      <c r="I4322"/>
    </row>
    <row r="4323" spans="1:9">
      <c r="A4323" t="s">
        <v>4310</v>
      </c>
      <c r="B4323" s="1" t="str">
        <f>"20282349"</f>
        <v>20282349</v>
      </c>
      <c r="C4323" t="s">
        <v>4044</v>
      </c>
      <c r="D4323" t="s">
        <v>4315</v>
      </c>
      <c r="E4323" s="2"/>
      <c r="F4323" t="s">
        <v>1461</v>
      </c>
      <c r="G4323" t="s">
        <v>25</v>
      </c>
      <c r="H4323" t="s">
        <v>25</v>
      </c>
      <c r="I4323"/>
    </row>
    <row r="4324" spans="1:9">
      <c r="A4324" t="s">
        <v>4310</v>
      </c>
      <c r="B4324" s="1" t="str">
        <f>"20282356"</f>
        <v>20282356</v>
      </c>
      <c r="C4324" t="s">
        <v>4044</v>
      </c>
      <c r="D4324" t="s">
        <v>4316</v>
      </c>
      <c r="E4324" s="2"/>
      <c r="F4324" t="s">
        <v>1461</v>
      </c>
      <c r="G4324" t="s">
        <v>25</v>
      </c>
      <c r="H4324" t="s">
        <v>25</v>
      </c>
      <c r="I4324"/>
    </row>
    <row r="4325" spans="1:9">
      <c r="A4325" t="s">
        <v>4310</v>
      </c>
      <c r="B4325" s="1" t="str">
        <f>"20068943"</f>
        <v>20068943</v>
      </c>
      <c r="C4325" t="s">
        <v>4193</v>
      </c>
      <c r="D4325" t="s">
        <v>4317</v>
      </c>
      <c r="E4325" s="2"/>
      <c r="F4325" t="s">
        <v>27</v>
      </c>
      <c r="G4325" t="s">
        <v>29</v>
      </c>
      <c r="H4325" t="s">
        <v>29</v>
      </c>
      <c r="I4325"/>
    </row>
    <row r="4326" spans="1:9">
      <c r="A4326" t="s">
        <v>4310</v>
      </c>
      <c r="B4326" s="1" t="str">
        <f>"20528737"</f>
        <v>20528737</v>
      </c>
      <c r="C4326" t="s">
        <v>4318</v>
      </c>
      <c r="D4326" t="s">
        <v>4319</v>
      </c>
      <c r="E4326" s="2"/>
      <c r="F4326" t="s">
        <v>27</v>
      </c>
      <c r="G4326" t="s">
        <v>337</v>
      </c>
      <c r="H4326" t="s">
        <v>337</v>
      </c>
      <c r="I4326"/>
    </row>
    <row r="4327" spans="1:9">
      <c r="A4327" t="s">
        <v>4310</v>
      </c>
      <c r="B4327" s="1" t="str">
        <f>"20528737.2"</f>
        <v>20528737.2</v>
      </c>
      <c r="C4327" t="s">
        <v>4318</v>
      </c>
      <c r="D4327" t="s">
        <v>4319</v>
      </c>
      <c r="E4327" s="2"/>
      <c r="F4327" t="s">
        <v>27</v>
      </c>
      <c r="G4327" t="s">
        <v>337</v>
      </c>
      <c r="H4327" t="s">
        <v>332</v>
      </c>
      <c r="I4327"/>
    </row>
    <row r="4328" spans="1:9">
      <c r="A4328" t="s">
        <v>4310</v>
      </c>
      <c r="B4328" s="1" t="str">
        <f>"20828622"</f>
        <v>20828622</v>
      </c>
      <c r="C4328" t="s">
        <v>4013</v>
      </c>
      <c r="D4328" t="s">
        <v>4320</v>
      </c>
      <c r="E4328" s="2"/>
      <c r="F4328" t="s">
        <v>1501</v>
      </c>
      <c r="G4328" t="s">
        <v>4052</v>
      </c>
      <c r="H4328" t="s">
        <v>4052</v>
      </c>
      <c r="I4328"/>
    </row>
    <row r="4329" spans="1:9">
      <c r="A4329" t="s">
        <v>4310</v>
      </c>
      <c r="B4329" s="1" t="str">
        <f>"20828622.2"</f>
        <v>20828622.2</v>
      </c>
      <c r="C4329" t="s">
        <v>4013</v>
      </c>
      <c r="D4329" t="s">
        <v>4320</v>
      </c>
      <c r="E4329" s="2"/>
      <c r="F4329" t="s">
        <v>1501</v>
      </c>
      <c r="G4329" t="s">
        <v>4052</v>
      </c>
      <c r="H4329" t="s">
        <v>2539</v>
      </c>
      <c r="I4329"/>
    </row>
    <row r="4330" spans="1:9">
      <c r="A4330" t="s">
        <v>4321</v>
      </c>
      <c r="B4330" s="1" t="str">
        <f>"23981276"</f>
        <v>23981276</v>
      </c>
      <c r="C4330" t="s">
        <v>4302</v>
      </c>
      <c r="D4330" t="s">
        <v>4322</v>
      </c>
      <c r="E4330" s="2"/>
      <c r="F4330" t="s">
        <v>27</v>
      </c>
      <c r="G4330" t="s">
        <v>25</v>
      </c>
      <c r="H4330" t="s">
        <v>25</v>
      </c>
      <c r="I4330"/>
    </row>
    <row r="4331" spans="1:9">
      <c r="A4331" t="s">
        <v>4321</v>
      </c>
      <c r="B4331" s="1" t="str">
        <f>"21679010"</f>
        <v>21679010</v>
      </c>
      <c r="C4331" t="s">
        <v>4323</v>
      </c>
      <c r="D4331" t="s">
        <v>4324</v>
      </c>
      <c r="E4331" s="2"/>
      <c r="F4331" t="s">
        <v>27</v>
      </c>
      <c r="G4331" t="s">
        <v>25</v>
      </c>
      <c r="H4331" t="s">
        <v>25</v>
      </c>
      <c r="I4331"/>
    </row>
    <row r="4332" spans="1:9">
      <c r="A4332" t="s">
        <v>4321</v>
      </c>
      <c r="B4332" s="1" t="str">
        <f>"20234059"</f>
        <v>20234059</v>
      </c>
      <c r="C4332" t="s">
        <v>2481</v>
      </c>
      <c r="D4332" t="s">
        <v>4325</v>
      </c>
      <c r="E4332" s="2"/>
      <c r="F4332" t="s">
        <v>1461</v>
      </c>
      <c r="G4332" t="s">
        <v>370</v>
      </c>
      <c r="H4332" t="s">
        <v>370</v>
      </c>
      <c r="I4332"/>
    </row>
    <row r="4333" spans="1:9">
      <c r="A4333" t="s">
        <v>4321</v>
      </c>
      <c r="B4333" s="1" t="str">
        <f>"20015686"</f>
        <v>20015686</v>
      </c>
      <c r="C4333" t="s">
        <v>2481</v>
      </c>
      <c r="D4333" t="s">
        <v>4326</v>
      </c>
      <c r="E4333" s="2"/>
      <c r="F4333" t="s">
        <v>27</v>
      </c>
      <c r="G4333" t="s">
        <v>4052</v>
      </c>
      <c r="H4333" t="s">
        <v>4052</v>
      </c>
      <c r="I4333"/>
    </row>
    <row r="4334" spans="1:9">
      <c r="A4334" t="s">
        <v>4321</v>
      </c>
      <c r="B4334" s="1" t="str">
        <f>"20016486"</f>
        <v>20016486</v>
      </c>
      <c r="C4334" t="s">
        <v>2481</v>
      </c>
      <c r="D4334" t="s">
        <v>4327</v>
      </c>
      <c r="E4334" s="2"/>
      <c r="F4334" t="s">
        <v>66</v>
      </c>
      <c r="G4334" t="s">
        <v>370</v>
      </c>
      <c r="H4334" t="s">
        <v>370</v>
      </c>
      <c r="I4334"/>
    </row>
    <row r="4335" spans="1:9">
      <c r="A4335" t="s">
        <v>4321</v>
      </c>
      <c r="B4335" s="1" t="str">
        <f>"20234058"</f>
        <v>20234058</v>
      </c>
      <c r="C4335" t="s">
        <v>2481</v>
      </c>
      <c r="D4335" t="s">
        <v>4328</v>
      </c>
      <c r="E4335" s="2"/>
      <c r="F4335" t="s">
        <v>24</v>
      </c>
      <c r="G4335" t="s">
        <v>370</v>
      </c>
      <c r="H4335" t="s">
        <v>370</v>
      </c>
      <c r="I4335"/>
    </row>
    <row r="4336" spans="1:9">
      <c r="A4336" t="s">
        <v>4321</v>
      </c>
      <c r="B4336" s="1" t="str">
        <f>"20234060"</f>
        <v>20234060</v>
      </c>
      <c r="C4336" t="s">
        <v>2481</v>
      </c>
      <c r="D4336" t="s">
        <v>4329</v>
      </c>
      <c r="E4336" s="2"/>
      <c r="F4336" t="s">
        <v>24</v>
      </c>
      <c r="G4336" t="s">
        <v>370</v>
      </c>
      <c r="H4336" t="s">
        <v>370</v>
      </c>
      <c r="I4336"/>
    </row>
    <row r="4337" spans="1:9">
      <c r="A4337" t="s">
        <v>4321</v>
      </c>
      <c r="B4337" s="1" t="str">
        <f>"26109431"</f>
        <v>26109431</v>
      </c>
      <c r="C4337" t="s">
        <v>2481</v>
      </c>
      <c r="D4337" t="s">
        <v>4330</v>
      </c>
      <c r="E4337" s="2"/>
      <c r="F4337" t="s">
        <v>24</v>
      </c>
      <c r="G4337" t="s">
        <v>370</v>
      </c>
      <c r="H4337" t="s">
        <v>370</v>
      </c>
      <c r="I4337"/>
    </row>
    <row r="4338" spans="1:9">
      <c r="A4338" t="s">
        <v>4321</v>
      </c>
      <c r="B4338" s="1" t="str">
        <f>"23540699"</f>
        <v>23540699</v>
      </c>
      <c r="C4338" t="s">
        <v>4331</v>
      </c>
      <c r="D4338" t="s">
        <v>4332</v>
      </c>
      <c r="E4338" s="2"/>
      <c r="F4338" t="s">
        <v>1461</v>
      </c>
      <c r="G4338" t="s">
        <v>25</v>
      </c>
      <c r="H4338" t="s">
        <v>25</v>
      </c>
      <c r="I4338"/>
    </row>
    <row r="4339" spans="1:9">
      <c r="A4339" t="s">
        <v>4321</v>
      </c>
      <c r="B4339" s="1" t="str">
        <f>"20666286"</f>
        <v>20666286</v>
      </c>
      <c r="C4339" t="s">
        <v>4331</v>
      </c>
      <c r="D4339" t="s">
        <v>4333</v>
      </c>
      <c r="E4339" s="2"/>
      <c r="F4339" t="s">
        <v>1461</v>
      </c>
      <c r="G4339" t="s">
        <v>25</v>
      </c>
      <c r="H4339" t="s">
        <v>25</v>
      </c>
      <c r="I4339"/>
    </row>
    <row r="4340" spans="1:9">
      <c r="A4340" t="s">
        <v>4321</v>
      </c>
      <c r="B4340" s="1" t="str">
        <f>"20356773"</f>
        <v>20356773</v>
      </c>
      <c r="C4340" t="s">
        <v>4331</v>
      </c>
      <c r="D4340" t="s">
        <v>4334</v>
      </c>
      <c r="E4340" s="2"/>
      <c r="F4340" t="s">
        <v>1461</v>
      </c>
      <c r="G4340" t="s">
        <v>25</v>
      </c>
      <c r="H4340" t="s">
        <v>25</v>
      </c>
      <c r="I4340"/>
    </row>
    <row r="4341" spans="1:9">
      <c r="A4341" t="s">
        <v>4321</v>
      </c>
      <c r="B4341" s="1" t="str">
        <f>"20354049"</f>
        <v>20354049</v>
      </c>
      <c r="C4341" t="s">
        <v>4331</v>
      </c>
      <c r="D4341" t="s">
        <v>4335</v>
      </c>
      <c r="E4341" s="2"/>
      <c r="F4341" t="s">
        <v>1461</v>
      </c>
      <c r="G4341" t="s">
        <v>25</v>
      </c>
      <c r="H4341" t="s">
        <v>25</v>
      </c>
      <c r="I4341"/>
    </row>
    <row r="4342" spans="1:9">
      <c r="A4342" t="s">
        <v>4321</v>
      </c>
      <c r="B4342" s="1" t="str">
        <f>"20081010"</f>
        <v>20081010</v>
      </c>
      <c r="C4342" t="s">
        <v>4336</v>
      </c>
      <c r="D4342" t="s">
        <v>4337</v>
      </c>
      <c r="E4342" s="2"/>
      <c r="F4342" t="s">
        <v>27</v>
      </c>
      <c r="G4342" t="s">
        <v>25</v>
      </c>
      <c r="H4342" t="s">
        <v>25</v>
      </c>
      <c r="I4342"/>
    </row>
    <row r="4343" spans="1:9">
      <c r="A4343" t="s">
        <v>4321</v>
      </c>
      <c r="B4343" s="1" t="str">
        <f>"20080914"</f>
        <v>20080914</v>
      </c>
      <c r="C4343" t="s">
        <v>4336</v>
      </c>
      <c r="D4343" t="s">
        <v>4338</v>
      </c>
      <c r="E4343" s="2"/>
      <c r="F4343" t="s">
        <v>27</v>
      </c>
      <c r="G4343" t="s">
        <v>25</v>
      </c>
      <c r="H4343" t="s">
        <v>25</v>
      </c>
      <c r="I4343"/>
    </row>
    <row r="4344" spans="1:9">
      <c r="A4344" t="s">
        <v>4321</v>
      </c>
      <c r="B4344" s="1" t="str">
        <f>"20035648"</f>
        <v>20035648</v>
      </c>
      <c r="C4344" t="s">
        <v>4253</v>
      </c>
      <c r="D4344" t="s">
        <v>4339</v>
      </c>
      <c r="E4344" s="2"/>
      <c r="F4344" t="s">
        <v>27</v>
      </c>
      <c r="G4344" t="s">
        <v>25</v>
      </c>
      <c r="H4344" t="s">
        <v>25</v>
      </c>
      <c r="I4344"/>
    </row>
    <row r="4345" spans="1:9">
      <c r="A4345" t="s">
        <v>4321</v>
      </c>
      <c r="B4345" s="1" t="str">
        <f>"20041182"</f>
        <v>20041182</v>
      </c>
      <c r="C4345" t="s">
        <v>4253</v>
      </c>
      <c r="D4345" t="s">
        <v>4340</v>
      </c>
      <c r="E4345" s="2"/>
      <c r="F4345" t="s">
        <v>27</v>
      </c>
      <c r="G4345" t="s">
        <v>25</v>
      </c>
      <c r="H4345" t="s">
        <v>25</v>
      </c>
      <c r="I4345"/>
    </row>
    <row r="4346" spans="1:9">
      <c r="A4346" t="s">
        <v>4321</v>
      </c>
      <c r="B4346" s="1" t="str">
        <f>"20072681"</f>
        <v>20072681</v>
      </c>
      <c r="C4346" t="s">
        <v>4214</v>
      </c>
      <c r="D4346" t="s">
        <v>4341</v>
      </c>
      <c r="E4346" s="2"/>
      <c r="F4346" t="s">
        <v>1461</v>
      </c>
      <c r="G4346" t="s">
        <v>25</v>
      </c>
      <c r="H4346" t="s">
        <v>25</v>
      </c>
      <c r="I4346"/>
    </row>
    <row r="4347" spans="1:9">
      <c r="A4347" t="s">
        <v>4321</v>
      </c>
      <c r="B4347" s="1" t="str">
        <f>"24250777"</f>
        <v>24250777</v>
      </c>
      <c r="C4347" t="s">
        <v>4005</v>
      </c>
      <c r="D4347" t="s">
        <v>4342</v>
      </c>
      <c r="E4347" s="2"/>
      <c r="F4347" t="s">
        <v>27</v>
      </c>
      <c r="G4347" t="s">
        <v>25</v>
      </c>
      <c r="H4347" t="s">
        <v>25</v>
      </c>
      <c r="I4347"/>
    </row>
    <row r="4348" spans="1:9">
      <c r="A4348" t="s">
        <v>4321</v>
      </c>
      <c r="B4348" s="1" t="str">
        <f>"20425086"</f>
        <v>20425086</v>
      </c>
      <c r="C4348" t="s">
        <v>4005</v>
      </c>
      <c r="D4348" t="s">
        <v>4343</v>
      </c>
      <c r="E4348" s="2"/>
      <c r="F4348" t="s">
        <v>27</v>
      </c>
      <c r="G4348" t="s">
        <v>25</v>
      </c>
      <c r="H4348" t="s">
        <v>25</v>
      </c>
      <c r="I4348"/>
    </row>
    <row r="4349" spans="1:9">
      <c r="A4349" t="s">
        <v>4321</v>
      </c>
      <c r="B4349" s="1" t="str">
        <f>"24250791"</f>
        <v>24250791</v>
      </c>
      <c r="C4349" t="s">
        <v>4005</v>
      </c>
      <c r="D4349" t="s">
        <v>4344</v>
      </c>
      <c r="E4349" s="2"/>
      <c r="F4349" t="s">
        <v>27</v>
      </c>
      <c r="G4349" t="s">
        <v>25</v>
      </c>
      <c r="H4349" t="s">
        <v>25</v>
      </c>
      <c r="I4349"/>
    </row>
    <row r="4350" spans="1:9">
      <c r="A4350" t="s">
        <v>4321</v>
      </c>
      <c r="B4350" s="1" t="str">
        <f>"20726638"</f>
        <v>20726638</v>
      </c>
      <c r="C4350" t="s">
        <v>4005</v>
      </c>
      <c r="D4350" t="s">
        <v>4345</v>
      </c>
      <c r="E4350" s="2"/>
      <c r="F4350" t="s">
        <v>27</v>
      </c>
      <c r="G4350" t="s">
        <v>25</v>
      </c>
      <c r="H4350" t="s">
        <v>25</v>
      </c>
      <c r="I4350"/>
    </row>
    <row r="4351" spans="1:9">
      <c r="A4351" t="s">
        <v>4321</v>
      </c>
      <c r="B4351" s="1" t="str">
        <f>"21522220"</f>
        <v>21522220</v>
      </c>
      <c r="C4351" t="s">
        <v>4346</v>
      </c>
      <c r="D4351" t="s">
        <v>4347</v>
      </c>
      <c r="E4351" s="2"/>
      <c r="F4351" t="s">
        <v>27</v>
      </c>
      <c r="G4351" t="s">
        <v>25</v>
      </c>
      <c r="H4351" t="s">
        <v>25</v>
      </c>
      <c r="I4351"/>
    </row>
    <row r="4352" spans="1:9">
      <c r="A4352" t="s">
        <v>4321</v>
      </c>
      <c r="B4352" s="1" t="str">
        <f>"20797508"</f>
        <v>20797508</v>
      </c>
      <c r="C4352" t="s">
        <v>4346</v>
      </c>
      <c r="D4352" t="s">
        <v>4348</v>
      </c>
      <c r="E4352" s="2"/>
      <c r="F4352" t="s">
        <v>1461</v>
      </c>
      <c r="G4352" t="s">
        <v>25</v>
      </c>
      <c r="H4352" t="s">
        <v>25</v>
      </c>
      <c r="I4352"/>
    </row>
    <row r="4353" spans="1:9">
      <c r="A4353" t="s">
        <v>4321</v>
      </c>
      <c r="B4353" s="1" t="str">
        <f>"20630683"</f>
        <v>20630683</v>
      </c>
      <c r="C4353" t="s">
        <v>4346</v>
      </c>
      <c r="D4353" t="s">
        <v>4349</v>
      </c>
      <c r="E4353" s="2"/>
      <c r="F4353" t="s">
        <v>1461</v>
      </c>
      <c r="G4353" t="s">
        <v>25</v>
      </c>
      <c r="H4353" t="s">
        <v>25</v>
      </c>
      <c r="I4353"/>
    </row>
    <row r="4354" spans="1:9">
      <c r="A4354" t="s">
        <v>4321</v>
      </c>
      <c r="B4354" s="1" t="str">
        <f>"20797317"</f>
        <v>20797317</v>
      </c>
      <c r="C4354" t="s">
        <v>4346</v>
      </c>
      <c r="D4354" t="s">
        <v>4350</v>
      </c>
      <c r="E4354" s="2"/>
      <c r="F4354" t="s">
        <v>1461</v>
      </c>
      <c r="G4354" t="s">
        <v>25</v>
      </c>
      <c r="H4354" t="s">
        <v>25</v>
      </c>
      <c r="I4354"/>
    </row>
    <row r="4355" spans="1:9">
      <c r="A4355" t="s">
        <v>4321</v>
      </c>
      <c r="B4355" s="1" t="str">
        <f>"20164684"</f>
        <v>20164684</v>
      </c>
      <c r="C4355" t="s">
        <v>4351</v>
      </c>
      <c r="D4355" t="s">
        <v>4352</v>
      </c>
      <c r="E4355" s="2"/>
      <c r="F4355" t="s">
        <v>27</v>
      </c>
      <c r="G4355" t="s">
        <v>25</v>
      </c>
      <c r="H4355" t="s">
        <v>25</v>
      </c>
      <c r="I4355"/>
    </row>
    <row r="4356" spans="1:9">
      <c r="A4356" t="s">
        <v>4321</v>
      </c>
      <c r="B4356" s="1" t="str">
        <f>"20164684.2"</f>
        <v>20164684.2</v>
      </c>
      <c r="C4356" t="s">
        <v>4351</v>
      </c>
      <c r="D4356" t="s">
        <v>4352</v>
      </c>
      <c r="E4356" s="2"/>
      <c r="F4356" t="s">
        <v>27</v>
      </c>
      <c r="G4356" t="s">
        <v>25</v>
      </c>
      <c r="H4356" t="s">
        <v>332</v>
      </c>
      <c r="I4356"/>
    </row>
    <row r="4357" spans="1:9">
      <c r="A4357" t="s">
        <v>4321</v>
      </c>
      <c r="B4357" s="1" t="str">
        <f>"20101848"</f>
        <v>20101848</v>
      </c>
      <c r="C4357" t="s">
        <v>4196</v>
      </c>
      <c r="D4357" t="s">
        <v>4353</v>
      </c>
      <c r="E4357" s="2"/>
      <c r="F4357" t="s">
        <v>129</v>
      </c>
      <c r="G4357" t="s">
        <v>4258</v>
      </c>
      <c r="H4357" t="s">
        <v>4258</v>
      </c>
      <c r="I4357"/>
    </row>
    <row r="4358" spans="1:9">
      <c r="A4358" t="s">
        <v>4321</v>
      </c>
      <c r="B4358" s="1" t="str">
        <f>"20104986"</f>
        <v>20104986</v>
      </c>
      <c r="C4358" t="s">
        <v>4196</v>
      </c>
      <c r="D4358" t="s">
        <v>4354</v>
      </c>
      <c r="E4358" s="2"/>
      <c r="F4358" t="s">
        <v>129</v>
      </c>
      <c r="G4358" t="s">
        <v>4258</v>
      </c>
      <c r="H4358" t="s">
        <v>4258</v>
      </c>
      <c r="I4358"/>
    </row>
    <row r="4359" spans="1:9">
      <c r="A4359" t="s">
        <v>4321</v>
      </c>
      <c r="B4359" s="1" t="str">
        <f>"20105730"</f>
        <v>20105730</v>
      </c>
      <c r="C4359" t="s">
        <v>4196</v>
      </c>
      <c r="D4359" t="s">
        <v>4355</v>
      </c>
      <c r="E4359" s="2"/>
      <c r="F4359" t="s">
        <v>129</v>
      </c>
      <c r="G4359" t="s">
        <v>4258</v>
      </c>
      <c r="H4359" t="s">
        <v>4258</v>
      </c>
      <c r="I4359"/>
    </row>
    <row r="4360" spans="1:9">
      <c r="A4360" t="s">
        <v>4321</v>
      </c>
      <c r="B4360" s="1" t="str">
        <f>"20011437"</f>
        <v>20011437</v>
      </c>
      <c r="C4360" t="s">
        <v>4196</v>
      </c>
      <c r="D4360" t="s">
        <v>4356</v>
      </c>
      <c r="E4360" s="2"/>
      <c r="F4360" t="s">
        <v>129</v>
      </c>
      <c r="G4360" t="s">
        <v>4258</v>
      </c>
      <c r="H4360" t="s">
        <v>4258</v>
      </c>
      <c r="I4360"/>
    </row>
    <row r="4361" spans="1:9">
      <c r="A4361" t="s">
        <v>4321</v>
      </c>
      <c r="B4361" s="1" t="str">
        <f>"20116477"</f>
        <v>20116477</v>
      </c>
      <c r="C4361" t="s">
        <v>4196</v>
      </c>
      <c r="D4361" t="s">
        <v>4357</v>
      </c>
      <c r="E4361" s="2"/>
      <c r="F4361" t="s">
        <v>129</v>
      </c>
      <c r="G4361" t="s">
        <v>4258</v>
      </c>
      <c r="H4361" t="s">
        <v>4258</v>
      </c>
      <c r="I4361"/>
    </row>
    <row r="4362" spans="1:9">
      <c r="A4362" t="s">
        <v>4321</v>
      </c>
      <c r="B4362" s="1" t="str">
        <f>"20010645"</f>
        <v>20010645</v>
      </c>
      <c r="C4362" t="s">
        <v>4196</v>
      </c>
      <c r="D4362" t="s">
        <v>4358</v>
      </c>
      <c r="E4362" s="2"/>
      <c r="F4362" t="s">
        <v>27</v>
      </c>
      <c r="G4362" t="s">
        <v>25</v>
      </c>
      <c r="H4362" t="s">
        <v>25</v>
      </c>
      <c r="I4362"/>
    </row>
    <row r="4363" spans="1:9">
      <c r="A4363" t="s">
        <v>4321</v>
      </c>
      <c r="B4363" s="1" t="str">
        <f>"20828813"</f>
        <v>20828813</v>
      </c>
      <c r="C4363" t="s">
        <v>4013</v>
      </c>
      <c r="D4363" t="s">
        <v>4325</v>
      </c>
      <c r="E4363" s="2"/>
      <c r="F4363" t="s">
        <v>206</v>
      </c>
      <c r="G4363" t="s">
        <v>25</v>
      </c>
      <c r="H4363" t="s">
        <v>25</v>
      </c>
      <c r="I4363"/>
    </row>
    <row r="4364" spans="1:9">
      <c r="A4364" t="s">
        <v>4321</v>
      </c>
      <c r="B4364" s="1" t="str">
        <f>"20828820"</f>
        <v>20828820</v>
      </c>
      <c r="C4364" t="s">
        <v>4013</v>
      </c>
      <c r="D4364" t="s">
        <v>4359</v>
      </c>
      <c r="E4364" s="2"/>
      <c r="F4364" t="s">
        <v>206</v>
      </c>
      <c r="G4364" t="s">
        <v>25</v>
      </c>
      <c r="H4364" t="s">
        <v>25</v>
      </c>
      <c r="I4364"/>
    </row>
    <row r="4365" spans="1:9">
      <c r="A4365" t="s">
        <v>4321</v>
      </c>
      <c r="B4365" s="1" t="str">
        <f>"20102139"</f>
        <v>20102139</v>
      </c>
      <c r="C4365" t="s">
        <v>4360</v>
      </c>
      <c r="D4365" t="s">
        <v>4361</v>
      </c>
      <c r="E4365" s="2"/>
      <c r="F4365" t="s">
        <v>4362</v>
      </c>
      <c r="G4365" t="s">
        <v>25</v>
      </c>
      <c r="H4365" t="s">
        <v>25</v>
      </c>
      <c r="I4365"/>
    </row>
    <row r="4366" spans="1:9">
      <c r="A4366" t="s">
        <v>4321</v>
      </c>
      <c r="B4366" s="1" t="str">
        <f>"20102142"</f>
        <v>20102142</v>
      </c>
      <c r="C4366" t="s">
        <v>4360</v>
      </c>
      <c r="D4366" t="s">
        <v>4363</v>
      </c>
      <c r="E4366" s="2"/>
      <c r="F4366" t="s">
        <v>4362</v>
      </c>
      <c r="G4366" t="s">
        <v>25</v>
      </c>
      <c r="H4366" t="s">
        <v>25</v>
      </c>
      <c r="I4366"/>
    </row>
    <row r="4367" spans="1:9">
      <c r="A4367" t="s">
        <v>4321</v>
      </c>
      <c r="B4367" s="1" t="str">
        <f>"20102144"</f>
        <v>20102144</v>
      </c>
      <c r="C4367" t="s">
        <v>4360</v>
      </c>
      <c r="D4367" t="s">
        <v>4364</v>
      </c>
      <c r="E4367" s="2"/>
      <c r="F4367" t="s">
        <v>4362</v>
      </c>
      <c r="G4367" t="s">
        <v>25</v>
      </c>
      <c r="H4367" t="s">
        <v>25</v>
      </c>
      <c r="I4367"/>
    </row>
    <row r="4368" spans="1:9">
      <c r="A4368" t="s">
        <v>4365</v>
      </c>
      <c r="B4368" s="1" t="str">
        <f>"20844158"</f>
        <v>20844158</v>
      </c>
      <c r="C4368" t="s">
        <v>4366</v>
      </c>
      <c r="D4368" t="s">
        <v>4367</v>
      </c>
      <c r="E4368" s="2"/>
      <c r="F4368" t="s">
        <v>206</v>
      </c>
      <c r="G4368" t="s">
        <v>25</v>
      </c>
      <c r="H4368" t="s">
        <v>25</v>
      </c>
      <c r="I4368"/>
    </row>
    <row r="4369" spans="1:9">
      <c r="A4369" t="s">
        <v>4365</v>
      </c>
      <c r="B4369" s="1" t="str">
        <f>"20726744"</f>
        <v>20726744</v>
      </c>
      <c r="C4369" t="s">
        <v>4005</v>
      </c>
      <c r="D4369" t="s">
        <v>4368</v>
      </c>
      <c r="E4369" s="2"/>
      <c r="F4369" t="s">
        <v>206</v>
      </c>
      <c r="G4369" t="s">
        <v>25</v>
      </c>
      <c r="H4369" t="s">
        <v>25</v>
      </c>
      <c r="I4369"/>
    </row>
    <row r="4370" spans="1:9">
      <c r="A4370" t="s">
        <v>4365</v>
      </c>
      <c r="B4370" s="1" t="str">
        <f>"20726720"</f>
        <v>20726720</v>
      </c>
      <c r="C4370" t="s">
        <v>4005</v>
      </c>
      <c r="D4370" t="s">
        <v>4369</v>
      </c>
      <c r="E4370" s="2"/>
      <c r="F4370" t="s">
        <v>206</v>
      </c>
      <c r="G4370" t="s">
        <v>25</v>
      </c>
      <c r="H4370" t="s">
        <v>25</v>
      </c>
      <c r="I4370"/>
    </row>
    <row r="4371" spans="1:9">
      <c r="A4371" t="s">
        <v>4365</v>
      </c>
      <c r="B4371" s="1" t="str">
        <f>"20606336"</f>
        <v>20606336</v>
      </c>
      <c r="C4371" t="s">
        <v>4196</v>
      </c>
      <c r="D4371" t="s">
        <v>4370</v>
      </c>
      <c r="E4371" s="2"/>
      <c r="F4371" t="s">
        <v>27</v>
      </c>
      <c r="G4371" t="s">
        <v>25</v>
      </c>
      <c r="H4371" t="s">
        <v>25</v>
      </c>
      <c r="I4371"/>
    </row>
    <row r="4372" spans="1:9">
      <c r="A4372" t="s">
        <v>4365</v>
      </c>
      <c r="B4372" s="1" t="str">
        <f>"20016525"</f>
        <v>20016525</v>
      </c>
      <c r="C4372" t="s">
        <v>4360</v>
      </c>
      <c r="D4372" t="s">
        <v>4371</v>
      </c>
      <c r="E4372" s="2"/>
      <c r="F4372" t="s">
        <v>66</v>
      </c>
      <c r="G4372" t="s">
        <v>25</v>
      </c>
      <c r="H4372" t="s">
        <v>25</v>
      </c>
      <c r="I4372"/>
    </row>
    <row r="4373" spans="1:9">
      <c r="A4373" t="s">
        <v>4372</v>
      </c>
      <c r="B4373" s="1" t="str">
        <f>"20068608"</f>
        <v>20068608</v>
      </c>
      <c r="C4373" t="s">
        <v>4373</v>
      </c>
      <c r="D4373" t="s">
        <v>4374</v>
      </c>
      <c r="E4373" s="2"/>
      <c r="F4373"/>
      <c r="G4373" t="s">
        <v>3990</v>
      </c>
      <c r="H4373" t="s">
        <v>3990</v>
      </c>
      <c r="I4373"/>
    </row>
    <row r="4374" spans="1:9">
      <c r="A4374" t="s">
        <v>4372</v>
      </c>
      <c r="B4374" s="1" t="str">
        <f>"20017729"</f>
        <v>20017729</v>
      </c>
      <c r="C4374" t="s">
        <v>4373</v>
      </c>
      <c r="D4374" t="s">
        <v>4375</v>
      </c>
      <c r="E4374" s="2"/>
      <c r="F4374"/>
      <c r="G4374" t="s">
        <v>3990</v>
      </c>
      <c r="H4374" t="s">
        <v>3990</v>
      </c>
      <c r="I4374"/>
    </row>
    <row r="4375" spans="1:9">
      <c r="A4375" t="s">
        <v>4372</v>
      </c>
      <c r="B4375" s="1" t="str">
        <f>"20052805"</f>
        <v>20052805</v>
      </c>
      <c r="C4375" t="s">
        <v>4373</v>
      </c>
      <c r="D4375" t="s">
        <v>4376</v>
      </c>
      <c r="E4375" s="2"/>
      <c r="F4375"/>
      <c r="G4375" t="s">
        <v>3990</v>
      </c>
      <c r="H4375" t="s">
        <v>3990</v>
      </c>
      <c r="I4375"/>
    </row>
    <row r="4376" spans="1:9">
      <c r="A4376" t="s">
        <v>4372</v>
      </c>
      <c r="B4376" s="1" t="str">
        <f>"20576509"</f>
        <v>20576509</v>
      </c>
      <c r="C4376" t="s">
        <v>4373</v>
      </c>
      <c r="D4376" t="s">
        <v>4377</v>
      </c>
      <c r="E4376" s="2"/>
      <c r="F4376"/>
      <c r="G4376" t="s">
        <v>3990</v>
      </c>
      <c r="H4376" t="s">
        <v>3990</v>
      </c>
      <c r="I4376"/>
    </row>
    <row r="4377" spans="1:9">
      <c r="A4377" t="s">
        <v>4372</v>
      </c>
      <c r="B4377" s="1" t="str">
        <f>"20525460"</f>
        <v>20525460</v>
      </c>
      <c r="C4377" t="s">
        <v>4373</v>
      </c>
      <c r="D4377" t="s">
        <v>4378</v>
      </c>
      <c r="E4377" s="2"/>
      <c r="F4377"/>
      <c r="G4377" t="s">
        <v>3990</v>
      </c>
      <c r="H4377" t="s">
        <v>3990</v>
      </c>
      <c r="I4377"/>
    </row>
    <row r="4378" spans="1:9">
      <c r="A4378" t="s">
        <v>4372</v>
      </c>
      <c r="B4378" s="1" t="str">
        <f>"20190030"</f>
        <v>20190030</v>
      </c>
      <c r="C4378" t="s">
        <v>2481</v>
      </c>
      <c r="D4378" t="s">
        <v>4379</v>
      </c>
      <c r="E4378" s="2"/>
      <c r="F4378"/>
      <c r="G4378" t="s">
        <v>13</v>
      </c>
      <c r="H4378" t="s">
        <v>13</v>
      </c>
      <c r="I4378"/>
    </row>
    <row r="4379" spans="1:9">
      <c r="A4379" t="s">
        <v>4372</v>
      </c>
      <c r="B4379" s="1" t="str">
        <f>"20016468"</f>
        <v>20016468</v>
      </c>
      <c r="C4379" t="s">
        <v>2481</v>
      </c>
      <c r="D4379" t="s">
        <v>4380</v>
      </c>
      <c r="E4379" s="2"/>
      <c r="F4379"/>
      <c r="G4379" t="s">
        <v>4381</v>
      </c>
      <c r="H4379" t="s">
        <v>4382</v>
      </c>
      <c r="I4379"/>
    </row>
    <row r="4380" spans="1:9">
      <c r="A4380" t="s">
        <v>4372</v>
      </c>
      <c r="B4380" s="1" t="str">
        <f>"20190028"</f>
        <v>20190028</v>
      </c>
      <c r="C4380" t="s">
        <v>2481</v>
      </c>
      <c r="D4380" t="s">
        <v>4383</v>
      </c>
      <c r="E4380" s="2"/>
      <c r="F4380"/>
      <c r="G4380" t="s">
        <v>148</v>
      </c>
      <c r="H4380" t="s">
        <v>148</v>
      </c>
      <c r="I4380"/>
    </row>
    <row r="4381" spans="1:9">
      <c r="A4381" t="s">
        <v>4372</v>
      </c>
      <c r="B4381" s="1" t="str">
        <f>"20291433"</f>
        <v>20291433</v>
      </c>
      <c r="C4381" t="s">
        <v>4384</v>
      </c>
      <c r="D4381" t="s">
        <v>4385</v>
      </c>
      <c r="E4381" s="2"/>
      <c r="F4381"/>
      <c r="G4381" t="s">
        <v>80</v>
      </c>
      <c r="H4381" t="s">
        <v>80</v>
      </c>
      <c r="I4381"/>
    </row>
    <row r="4382" spans="1:9">
      <c r="A4382" t="s">
        <v>4372</v>
      </c>
      <c r="B4382" s="1" t="str">
        <f>"20046578"</f>
        <v>20046578</v>
      </c>
      <c r="C4382" t="s">
        <v>4386</v>
      </c>
      <c r="D4382" t="s">
        <v>4387</v>
      </c>
      <c r="E4382" s="2"/>
      <c r="F4382"/>
      <c r="G4382" t="s">
        <v>3990</v>
      </c>
      <c r="H4382" t="s">
        <v>3990</v>
      </c>
      <c r="I4382"/>
    </row>
    <row r="4383" spans="1:9">
      <c r="A4383" t="s">
        <v>4388</v>
      </c>
      <c r="B4383" s="1" t="str">
        <f>"20016856"</f>
        <v>20016856</v>
      </c>
      <c r="C4383" t="s">
        <v>4389</v>
      </c>
      <c r="D4383" t="s">
        <v>4390</v>
      </c>
      <c r="E4383" s="2"/>
      <c r="F4383" t="s">
        <v>4391</v>
      </c>
      <c r="G4383" t="s">
        <v>189</v>
      </c>
      <c r="H4383" t="s">
        <v>189</v>
      </c>
      <c r="I4383"/>
    </row>
    <row r="4384" spans="1:9">
      <c r="A4384" t="s">
        <v>4388</v>
      </c>
      <c r="B4384" s="1" t="str">
        <f>"20038236"</f>
        <v>20038236</v>
      </c>
      <c r="C4384" t="s">
        <v>4392</v>
      </c>
      <c r="D4384" t="s">
        <v>4393</v>
      </c>
      <c r="E4384" s="2"/>
      <c r="F4384" t="s">
        <v>4023</v>
      </c>
      <c r="G4384" t="s">
        <v>189</v>
      </c>
      <c r="H4384" t="s">
        <v>189</v>
      </c>
      <c r="I4384"/>
    </row>
    <row r="4385" spans="1:9">
      <c r="A4385" t="s">
        <v>4388</v>
      </c>
      <c r="B4385" s="1" t="str">
        <f>"20038236.2"</f>
        <v>20038236.2</v>
      </c>
      <c r="C4385" t="s">
        <v>4392</v>
      </c>
      <c r="D4385" t="s">
        <v>4393</v>
      </c>
      <c r="E4385" s="2"/>
      <c r="F4385" t="s">
        <v>4023</v>
      </c>
      <c r="G4385" t="s">
        <v>189</v>
      </c>
      <c r="H4385" t="s">
        <v>1453</v>
      </c>
      <c r="I4385"/>
    </row>
    <row r="4386" spans="1:9">
      <c r="A4386" t="s">
        <v>4388</v>
      </c>
      <c r="B4386" s="1" t="str">
        <f>"20858407"</f>
        <v>20858407</v>
      </c>
      <c r="C4386" t="s">
        <v>4394</v>
      </c>
      <c r="D4386" t="s">
        <v>4395</v>
      </c>
      <c r="E4386" s="2"/>
      <c r="F4386" t="s">
        <v>4023</v>
      </c>
      <c r="G4386" t="s">
        <v>189</v>
      </c>
      <c r="H4386" t="s">
        <v>189</v>
      </c>
      <c r="I4386"/>
    </row>
    <row r="4387" spans="1:9">
      <c r="A4387" t="s">
        <v>4388</v>
      </c>
      <c r="B4387" s="1" t="str">
        <f>"20858407.2"</f>
        <v>20858407.2</v>
      </c>
      <c r="C4387" t="s">
        <v>4394</v>
      </c>
      <c r="D4387" t="s">
        <v>4395</v>
      </c>
      <c r="E4387" s="2"/>
      <c r="F4387" t="s">
        <v>4023</v>
      </c>
      <c r="G4387" t="s">
        <v>189</v>
      </c>
      <c r="H4387" t="s">
        <v>1453</v>
      </c>
      <c r="I4387"/>
    </row>
    <row r="4388" spans="1:9">
      <c r="A4388" t="s">
        <v>4388</v>
      </c>
      <c r="B4388" s="1" t="str">
        <f>"24722908"</f>
        <v>24722908</v>
      </c>
      <c r="C4388" t="s">
        <v>4394</v>
      </c>
      <c r="D4388" t="s">
        <v>4396</v>
      </c>
      <c r="E4388" s="2"/>
      <c r="F4388" t="s">
        <v>4023</v>
      </c>
      <c r="G4388" t="s">
        <v>189</v>
      </c>
      <c r="H4388" t="s">
        <v>189</v>
      </c>
      <c r="I4388"/>
    </row>
    <row r="4389" spans="1:9">
      <c r="A4389" t="s">
        <v>4388</v>
      </c>
      <c r="B4389" s="1" t="str">
        <f>"24722908.2"</f>
        <v>24722908.2</v>
      </c>
      <c r="C4389" t="s">
        <v>4394</v>
      </c>
      <c r="D4389" t="s">
        <v>4396</v>
      </c>
      <c r="E4389" s="2"/>
      <c r="F4389" t="s">
        <v>4023</v>
      </c>
      <c r="G4389" t="s">
        <v>189</v>
      </c>
      <c r="H4389" t="s">
        <v>1453</v>
      </c>
      <c r="I4389"/>
    </row>
    <row r="4390" spans="1:9">
      <c r="A4390" t="s">
        <v>4388</v>
      </c>
      <c r="B4390" s="1" t="str">
        <f>"20979977"</f>
        <v>20979977</v>
      </c>
      <c r="C4390" t="s">
        <v>4394</v>
      </c>
      <c r="D4390" t="s">
        <v>4397</v>
      </c>
      <c r="E4390" s="2"/>
      <c r="F4390" t="s">
        <v>4023</v>
      </c>
      <c r="G4390" t="s">
        <v>189</v>
      </c>
      <c r="H4390" t="s">
        <v>189</v>
      </c>
      <c r="I4390"/>
    </row>
    <row r="4391" spans="1:9">
      <c r="A4391" t="s">
        <v>4388</v>
      </c>
      <c r="B4391" s="1" t="str">
        <f>"20979977.2"</f>
        <v>20979977.2</v>
      </c>
      <c r="C4391" t="s">
        <v>4394</v>
      </c>
      <c r="D4391" t="s">
        <v>4397</v>
      </c>
      <c r="E4391" s="2"/>
      <c r="F4391" t="s">
        <v>4023</v>
      </c>
      <c r="G4391" t="s">
        <v>189</v>
      </c>
      <c r="H4391" t="s">
        <v>1453</v>
      </c>
      <c r="I4391"/>
    </row>
    <row r="4392" spans="1:9">
      <c r="A4392" t="s">
        <v>4388</v>
      </c>
      <c r="B4392" s="1" t="str">
        <f>"20038371"</f>
        <v>20038371</v>
      </c>
      <c r="C4392" t="s">
        <v>4398</v>
      </c>
      <c r="D4392" t="s">
        <v>4390</v>
      </c>
      <c r="E4392" s="2"/>
      <c r="F4392" t="s">
        <v>4023</v>
      </c>
      <c r="G4392" t="s">
        <v>189</v>
      </c>
      <c r="H4392" t="s">
        <v>189</v>
      </c>
      <c r="I4392"/>
    </row>
    <row r="4393" spans="1:9">
      <c r="A4393" t="s">
        <v>4388</v>
      </c>
      <c r="B4393" s="1" t="str">
        <f>"20038371.2"</f>
        <v>20038371.2</v>
      </c>
      <c r="C4393" t="s">
        <v>4398</v>
      </c>
      <c r="D4393" t="s">
        <v>4390</v>
      </c>
      <c r="E4393" s="2"/>
      <c r="F4393" t="s">
        <v>4023</v>
      </c>
      <c r="G4393" t="s">
        <v>189</v>
      </c>
      <c r="H4393" t="s">
        <v>1453</v>
      </c>
      <c r="I4393"/>
    </row>
    <row r="4394" spans="1:9">
      <c r="A4394" t="s">
        <v>4388</v>
      </c>
      <c r="B4394" s="1" t="str">
        <f>"20046546"</f>
        <v>20046546</v>
      </c>
      <c r="C4394" t="s">
        <v>4399</v>
      </c>
      <c r="D4394" t="s">
        <v>4400</v>
      </c>
      <c r="E4394" s="2"/>
      <c r="F4394" t="s">
        <v>4023</v>
      </c>
      <c r="G4394" t="s">
        <v>189</v>
      </c>
      <c r="H4394" t="s">
        <v>189</v>
      </c>
      <c r="I4394"/>
    </row>
    <row r="4395" spans="1:9">
      <c r="A4395" t="s">
        <v>4388</v>
      </c>
      <c r="B4395" s="1" t="str">
        <f>"20046546.2"</f>
        <v>20046546.2</v>
      </c>
      <c r="C4395" t="s">
        <v>4399</v>
      </c>
      <c r="D4395" t="s">
        <v>4400</v>
      </c>
      <c r="E4395" s="2"/>
      <c r="F4395" t="s">
        <v>4023</v>
      </c>
      <c r="G4395" t="s">
        <v>189</v>
      </c>
      <c r="H4395" t="s">
        <v>1453</v>
      </c>
      <c r="I4395"/>
    </row>
    <row r="4396" spans="1:9">
      <c r="A4396" t="s">
        <v>4388</v>
      </c>
      <c r="B4396" s="1" t="str">
        <f>"20016469"</f>
        <v>20016469</v>
      </c>
      <c r="C4396" t="s">
        <v>2481</v>
      </c>
      <c r="D4396" t="s">
        <v>4401</v>
      </c>
      <c r="E4396" s="2"/>
      <c r="F4396" t="s">
        <v>2346</v>
      </c>
      <c r="G4396" t="s">
        <v>189</v>
      </c>
      <c r="H4396" t="s">
        <v>189</v>
      </c>
      <c r="I4396"/>
    </row>
    <row r="4397" spans="1:9">
      <c r="A4397" t="s">
        <v>4388</v>
      </c>
      <c r="B4397" s="1" t="str">
        <f>"20016479"</f>
        <v>20016479</v>
      </c>
      <c r="C4397" t="s">
        <v>2481</v>
      </c>
      <c r="D4397" t="s">
        <v>4402</v>
      </c>
      <c r="E4397" s="2"/>
      <c r="F4397" t="s">
        <v>2346</v>
      </c>
      <c r="G4397" t="s">
        <v>189</v>
      </c>
      <c r="H4397" t="s">
        <v>189</v>
      </c>
      <c r="I4397"/>
    </row>
    <row r="4398" spans="1:9">
      <c r="A4398" t="s">
        <v>4388</v>
      </c>
      <c r="B4398" s="1" t="str">
        <f>"20016481"</f>
        <v>20016481</v>
      </c>
      <c r="C4398" t="s">
        <v>2481</v>
      </c>
      <c r="D4398" t="s">
        <v>4403</v>
      </c>
      <c r="E4398" s="2"/>
      <c r="F4398" t="s">
        <v>2346</v>
      </c>
      <c r="G4398" t="s">
        <v>189</v>
      </c>
      <c r="H4398" t="s">
        <v>189</v>
      </c>
      <c r="I4398"/>
    </row>
    <row r="4399" spans="1:9">
      <c r="A4399" t="s">
        <v>4388</v>
      </c>
      <c r="B4399" s="1" t="str">
        <f>"20016480"</f>
        <v>20016480</v>
      </c>
      <c r="C4399" t="s">
        <v>2481</v>
      </c>
      <c r="D4399" t="s">
        <v>4404</v>
      </c>
      <c r="E4399" s="2"/>
      <c r="F4399" t="s">
        <v>2346</v>
      </c>
      <c r="G4399" t="s">
        <v>189</v>
      </c>
      <c r="H4399" t="s">
        <v>189</v>
      </c>
      <c r="I4399"/>
    </row>
    <row r="4400" spans="1:9">
      <c r="A4400" t="s">
        <v>4388</v>
      </c>
      <c r="B4400" s="1" t="str">
        <f>"20168612"</f>
        <v>20168612</v>
      </c>
      <c r="C4400" t="s">
        <v>4405</v>
      </c>
      <c r="D4400" t="s">
        <v>4406</v>
      </c>
      <c r="E4400" s="2"/>
      <c r="F4400" t="s">
        <v>4023</v>
      </c>
      <c r="G4400" t="s">
        <v>189</v>
      </c>
      <c r="H4400" t="s">
        <v>189</v>
      </c>
      <c r="I4400"/>
    </row>
    <row r="4401" spans="1:9">
      <c r="A4401" t="s">
        <v>4388</v>
      </c>
      <c r="B4401" s="1" t="str">
        <f>"20168612.2"</f>
        <v>20168612.2</v>
      </c>
      <c r="C4401" t="s">
        <v>4405</v>
      </c>
      <c r="D4401" t="s">
        <v>4406</v>
      </c>
      <c r="E4401" s="2"/>
      <c r="F4401" t="s">
        <v>4023</v>
      </c>
      <c r="G4401" t="s">
        <v>189</v>
      </c>
      <c r="H4401" t="s">
        <v>1453</v>
      </c>
      <c r="I4401"/>
    </row>
    <row r="4402" spans="1:9">
      <c r="A4402" t="s">
        <v>4388</v>
      </c>
      <c r="B4402" s="1" t="str">
        <f>"20042127"</f>
        <v>20042127</v>
      </c>
      <c r="C4402" t="s">
        <v>4405</v>
      </c>
      <c r="D4402" t="s">
        <v>4407</v>
      </c>
      <c r="E4402" s="2"/>
      <c r="F4402" t="s">
        <v>4023</v>
      </c>
      <c r="G4402" t="s">
        <v>189</v>
      </c>
      <c r="H4402" t="s">
        <v>189</v>
      </c>
      <c r="I4402"/>
    </row>
    <row r="4403" spans="1:9">
      <c r="A4403" t="s">
        <v>4388</v>
      </c>
      <c r="B4403" s="1" t="str">
        <f>"20042127.2"</f>
        <v>20042127.2</v>
      </c>
      <c r="C4403" t="s">
        <v>4405</v>
      </c>
      <c r="D4403" t="s">
        <v>4407</v>
      </c>
      <c r="E4403" s="2"/>
      <c r="F4403" t="s">
        <v>4023</v>
      </c>
      <c r="G4403" t="s">
        <v>189</v>
      </c>
      <c r="H4403" t="s">
        <v>1453</v>
      </c>
      <c r="I4403"/>
    </row>
    <row r="4404" spans="1:9">
      <c r="A4404" t="s">
        <v>4388</v>
      </c>
      <c r="B4404" s="1" t="str">
        <f>"20454027"</f>
        <v>20454027</v>
      </c>
      <c r="C4404" t="s">
        <v>4408</v>
      </c>
      <c r="D4404" t="s">
        <v>4390</v>
      </c>
      <c r="E4404" s="2"/>
      <c r="F4404" t="s">
        <v>4023</v>
      </c>
      <c r="G4404" t="s">
        <v>189</v>
      </c>
      <c r="H4404" t="s">
        <v>189</v>
      </c>
      <c r="I4404"/>
    </row>
    <row r="4405" spans="1:9">
      <c r="A4405" t="s">
        <v>4388</v>
      </c>
      <c r="B4405" s="1" t="str">
        <f>"20454027.2"</f>
        <v>20454027.2</v>
      </c>
      <c r="C4405" t="s">
        <v>4408</v>
      </c>
      <c r="D4405" t="s">
        <v>4390</v>
      </c>
      <c r="E4405" s="2"/>
      <c r="F4405" t="s">
        <v>4023</v>
      </c>
      <c r="G4405" t="s">
        <v>189</v>
      </c>
      <c r="H4405" t="s">
        <v>1453</v>
      </c>
      <c r="I4405"/>
    </row>
    <row r="4406" spans="1:9">
      <c r="A4406" t="s">
        <v>4388</v>
      </c>
      <c r="B4406" s="1" t="str">
        <f>"20029746"</f>
        <v>20029746</v>
      </c>
      <c r="C4406" t="s">
        <v>4409</v>
      </c>
      <c r="D4406" t="s">
        <v>4410</v>
      </c>
      <c r="E4406" s="2"/>
      <c r="F4406" t="s">
        <v>4023</v>
      </c>
      <c r="G4406" t="s">
        <v>4411</v>
      </c>
      <c r="H4406" t="s">
        <v>4411</v>
      </c>
      <c r="I4406"/>
    </row>
    <row r="4407" spans="1:9">
      <c r="A4407" t="s">
        <v>4388</v>
      </c>
      <c r="B4407" s="1" t="str">
        <f>"20108946"</f>
        <v>20108946</v>
      </c>
      <c r="C4407" t="s">
        <v>4409</v>
      </c>
      <c r="D4407" t="s">
        <v>4412</v>
      </c>
      <c r="E4407" s="2"/>
      <c r="F4407" t="s">
        <v>4023</v>
      </c>
      <c r="G4407" t="s">
        <v>189</v>
      </c>
      <c r="H4407" t="s">
        <v>189</v>
      </c>
      <c r="I4407"/>
    </row>
    <row r="4408" spans="1:9">
      <c r="A4408" t="s">
        <v>4388</v>
      </c>
      <c r="B4408" s="1" t="str">
        <f>"20108946.2"</f>
        <v>20108946.2</v>
      </c>
      <c r="C4408" t="s">
        <v>4409</v>
      </c>
      <c r="D4408" t="s">
        <v>4412</v>
      </c>
      <c r="E4408" s="2"/>
      <c r="F4408" t="s">
        <v>4023</v>
      </c>
      <c r="G4408" t="s">
        <v>189</v>
      </c>
      <c r="H4408" t="s">
        <v>1453</v>
      </c>
      <c r="I4408"/>
    </row>
    <row r="4409" spans="1:9">
      <c r="A4409" t="s">
        <v>4388</v>
      </c>
      <c r="B4409" s="1" t="str">
        <f>"20530921"</f>
        <v>20530921</v>
      </c>
      <c r="C4409" t="s">
        <v>4409</v>
      </c>
      <c r="D4409" t="s">
        <v>4413</v>
      </c>
      <c r="E4409" s="2"/>
      <c r="F4409" t="s">
        <v>4023</v>
      </c>
      <c r="G4409" t="s">
        <v>189</v>
      </c>
      <c r="H4409" t="s">
        <v>189</v>
      </c>
      <c r="I4409"/>
    </row>
    <row r="4410" spans="1:9">
      <c r="A4410" t="s">
        <v>4388</v>
      </c>
      <c r="B4410" s="1" t="str">
        <f>"20530921.2"</f>
        <v>20530921.2</v>
      </c>
      <c r="C4410" t="s">
        <v>4409</v>
      </c>
      <c r="D4410" t="s">
        <v>4413</v>
      </c>
      <c r="E4410" s="2"/>
      <c r="F4410" t="s">
        <v>4023</v>
      </c>
      <c r="G4410" t="s">
        <v>189</v>
      </c>
      <c r="H4410" t="s">
        <v>1453</v>
      </c>
      <c r="I4410"/>
    </row>
    <row r="4411" spans="1:9">
      <c r="A4411" t="s">
        <v>4388</v>
      </c>
      <c r="B4411" s="1" t="str">
        <f>"20234430"</f>
        <v>20234430</v>
      </c>
      <c r="C4411" t="s">
        <v>4409</v>
      </c>
      <c r="D4411" t="s">
        <v>4414</v>
      </c>
      <c r="E4411" s="2"/>
      <c r="F4411" t="s">
        <v>380</v>
      </c>
      <c r="G4411" t="s">
        <v>189</v>
      </c>
      <c r="H4411" t="s">
        <v>189</v>
      </c>
      <c r="I4411"/>
    </row>
    <row r="4412" spans="1:9">
      <c r="A4412" t="s">
        <v>4388</v>
      </c>
      <c r="B4412" s="1" t="str">
        <f>"20234430.2"</f>
        <v>20234430.2</v>
      </c>
      <c r="C4412" t="s">
        <v>4409</v>
      </c>
      <c r="D4412" t="s">
        <v>4414</v>
      </c>
      <c r="E4412" s="2"/>
      <c r="F4412" t="s">
        <v>380</v>
      </c>
      <c r="G4412" t="s">
        <v>189</v>
      </c>
      <c r="H4412" t="s">
        <v>1453</v>
      </c>
      <c r="I4412"/>
    </row>
    <row r="4413" spans="1:9">
      <c r="A4413" t="s">
        <v>4388</v>
      </c>
      <c r="B4413" s="1" t="str">
        <f>"20043100"</f>
        <v>20043100</v>
      </c>
      <c r="C4413" t="s">
        <v>4415</v>
      </c>
      <c r="D4413" t="s">
        <v>4416</v>
      </c>
      <c r="E4413" s="2"/>
      <c r="F4413" t="s">
        <v>4021</v>
      </c>
      <c r="G4413" t="s">
        <v>4024</v>
      </c>
      <c r="H4413" t="s">
        <v>4024</v>
      </c>
      <c r="I4413"/>
    </row>
    <row r="4414" spans="1:9">
      <c r="A4414" t="s">
        <v>4388</v>
      </c>
      <c r="B4414" s="1" t="str">
        <f>"20043100.2"</f>
        <v>20043100.2</v>
      </c>
      <c r="C4414" t="s">
        <v>4415</v>
      </c>
      <c r="D4414" t="s">
        <v>4416</v>
      </c>
      <c r="E4414" s="2"/>
      <c r="F4414" t="s">
        <v>4021</v>
      </c>
      <c r="G4414" t="s">
        <v>4024</v>
      </c>
      <c r="H4414" t="s">
        <v>1453</v>
      </c>
      <c r="I4414"/>
    </row>
    <row r="4415" spans="1:9">
      <c r="A4415" t="s">
        <v>4388</v>
      </c>
      <c r="B4415" s="1" t="str">
        <f>"20065225"</f>
        <v>20065225</v>
      </c>
      <c r="C4415" t="s">
        <v>4386</v>
      </c>
      <c r="D4415" t="s">
        <v>4417</v>
      </c>
      <c r="E4415" s="2"/>
      <c r="F4415" t="s">
        <v>4023</v>
      </c>
      <c r="G4415" t="s">
        <v>189</v>
      </c>
      <c r="H4415" t="s">
        <v>189</v>
      </c>
      <c r="I4415"/>
    </row>
    <row r="4416" spans="1:9">
      <c r="A4416" t="s">
        <v>4388</v>
      </c>
      <c r="B4416" s="1" t="str">
        <f>"20065225.2"</f>
        <v>20065225.2</v>
      </c>
      <c r="C4416" t="s">
        <v>4386</v>
      </c>
      <c r="D4416" t="s">
        <v>4417</v>
      </c>
      <c r="E4416" s="2"/>
      <c r="F4416" t="s">
        <v>4023</v>
      </c>
      <c r="G4416" t="s">
        <v>189</v>
      </c>
      <c r="H4416" t="s">
        <v>1453</v>
      </c>
      <c r="I4416"/>
    </row>
    <row r="4417" spans="1:9">
      <c r="A4417" t="s">
        <v>4388</v>
      </c>
      <c r="B4417" s="1" t="str">
        <f>"20033293"</f>
        <v>20033293</v>
      </c>
      <c r="C4417" t="s">
        <v>4386</v>
      </c>
      <c r="D4417" t="s">
        <v>4418</v>
      </c>
      <c r="E4417" s="2"/>
      <c r="F4417" t="s">
        <v>4023</v>
      </c>
      <c r="G4417" t="s">
        <v>189</v>
      </c>
      <c r="H4417" t="s">
        <v>189</v>
      </c>
      <c r="I4417"/>
    </row>
    <row r="4418" spans="1:9">
      <c r="A4418" t="s">
        <v>4388</v>
      </c>
      <c r="B4418" s="1" t="str">
        <f>"20033293.2"</f>
        <v>20033293.2</v>
      </c>
      <c r="C4418" t="s">
        <v>4386</v>
      </c>
      <c r="D4418" t="s">
        <v>4418</v>
      </c>
      <c r="E4418" s="2"/>
      <c r="F4418" t="s">
        <v>4023</v>
      </c>
      <c r="G4418" t="s">
        <v>189</v>
      </c>
      <c r="H4418" t="s">
        <v>1453</v>
      </c>
      <c r="I4418"/>
    </row>
    <row r="4419" spans="1:9">
      <c r="A4419" t="s">
        <v>4388</v>
      </c>
      <c r="B4419" s="1" t="str">
        <f>"20058912"</f>
        <v>20058912</v>
      </c>
      <c r="C4419" t="s">
        <v>4386</v>
      </c>
      <c r="D4419" t="s">
        <v>4419</v>
      </c>
      <c r="E4419" s="2"/>
      <c r="F4419" t="s">
        <v>4023</v>
      </c>
      <c r="G4419" t="s">
        <v>189</v>
      </c>
      <c r="H4419" t="s">
        <v>189</v>
      </c>
      <c r="I4419"/>
    </row>
    <row r="4420" spans="1:9">
      <c r="A4420" t="s">
        <v>4388</v>
      </c>
      <c r="B4420" s="1" t="str">
        <f>"20058912.2"</f>
        <v>20058912.2</v>
      </c>
      <c r="C4420" t="s">
        <v>4386</v>
      </c>
      <c r="D4420" t="s">
        <v>4419</v>
      </c>
      <c r="E4420" s="2"/>
      <c r="F4420" t="s">
        <v>4023</v>
      </c>
      <c r="G4420" t="s">
        <v>189</v>
      </c>
      <c r="H4420" t="s">
        <v>1453</v>
      </c>
      <c r="I4420"/>
    </row>
    <row r="4421" spans="1:9">
      <c r="A4421" t="s">
        <v>4388</v>
      </c>
      <c r="B4421" s="1" t="str">
        <f>"20016518"</f>
        <v>20016518</v>
      </c>
      <c r="C4421" t="s">
        <v>4420</v>
      </c>
      <c r="D4421" t="s">
        <v>4421</v>
      </c>
      <c r="E4421" s="2"/>
      <c r="F4421" t="s">
        <v>4023</v>
      </c>
      <c r="G4421" t="s">
        <v>29</v>
      </c>
      <c r="H4421" t="s">
        <v>29</v>
      </c>
      <c r="I4421"/>
    </row>
    <row r="4422" spans="1:9">
      <c r="A4422" t="s">
        <v>4388</v>
      </c>
      <c r="B4422" s="1" t="str">
        <f>"20016518.2"</f>
        <v>20016518.2</v>
      </c>
      <c r="C4422" t="s">
        <v>4420</v>
      </c>
      <c r="D4422" t="s">
        <v>4421</v>
      </c>
      <c r="E4422" s="2"/>
      <c r="F4422" t="s">
        <v>4023</v>
      </c>
      <c r="G4422" t="s">
        <v>29</v>
      </c>
      <c r="H4422" t="s">
        <v>332</v>
      </c>
      <c r="I4422"/>
    </row>
    <row r="4423" spans="1:9">
      <c r="A4423" t="s">
        <v>4388</v>
      </c>
      <c r="B4423" s="1" t="str">
        <f>"20016520"</f>
        <v>20016520</v>
      </c>
      <c r="C4423" t="s">
        <v>4420</v>
      </c>
      <c r="D4423" t="s">
        <v>4422</v>
      </c>
      <c r="E4423" s="2"/>
      <c r="F4423" t="s">
        <v>380</v>
      </c>
      <c r="G4423" t="s">
        <v>4028</v>
      </c>
      <c r="H4423" t="s">
        <v>4028</v>
      </c>
      <c r="I4423"/>
    </row>
    <row r="4424" spans="1:9">
      <c r="A4424" t="s">
        <v>4388</v>
      </c>
      <c r="B4424" s="1" t="str">
        <f>"20016520.2"</f>
        <v>20016520.2</v>
      </c>
      <c r="C4424" t="s">
        <v>4420</v>
      </c>
      <c r="D4424" t="s">
        <v>4422</v>
      </c>
      <c r="E4424" s="2"/>
      <c r="F4424" t="s">
        <v>380</v>
      </c>
      <c r="G4424" t="s">
        <v>4028</v>
      </c>
      <c r="H4424" t="s">
        <v>1453</v>
      </c>
      <c r="I4424"/>
    </row>
    <row r="4425" spans="1:9">
      <c r="A4425" t="s">
        <v>4388</v>
      </c>
      <c r="B4425" s="1" t="str">
        <f>"20016521"</f>
        <v>20016521</v>
      </c>
      <c r="C4425" t="s">
        <v>4420</v>
      </c>
      <c r="D4425" t="s">
        <v>4423</v>
      </c>
      <c r="E4425" s="2"/>
      <c r="F4425" t="s">
        <v>380</v>
      </c>
      <c r="G4425" t="s">
        <v>4028</v>
      </c>
      <c r="H4425" t="s">
        <v>4028</v>
      </c>
      <c r="I4425"/>
    </row>
    <row r="4426" spans="1:9">
      <c r="A4426" t="s">
        <v>4388</v>
      </c>
      <c r="B4426" s="1" t="str">
        <f>"20016521.2"</f>
        <v>20016521.2</v>
      </c>
      <c r="C4426" t="s">
        <v>4420</v>
      </c>
      <c r="D4426" t="s">
        <v>4423</v>
      </c>
      <c r="E4426" s="2"/>
      <c r="F4426" t="s">
        <v>380</v>
      </c>
      <c r="G4426" t="s">
        <v>4028</v>
      </c>
      <c r="H4426" t="s">
        <v>1453</v>
      </c>
      <c r="I4426"/>
    </row>
    <row r="4427" spans="1:9">
      <c r="A4427" t="s">
        <v>4388</v>
      </c>
      <c r="B4427" s="1" t="str">
        <f>"20529895"</f>
        <v>20529895</v>
      </c>
      <c r="C4427" t="s">
        <v>4420</v>
      </c>
      <c r="D4427" t="s">
        <v>4424</v>
      </c>
      <c r="E4427" s="2"/>
      <c r="F4427" t="s">
        <v>79</v>
      </c>
      <c r="G4427" t="s">
        <v>4028</v>
      </c>
      <c r="H4427" t="s">
        <v>4028</v>
      </c>
      <c r="I4427"/>
    </row>
    <row r="4428" spans="1:9">
      <c r="A4428" t="s">
        <v>4388</v>
      </c>
      <c r="B4428" s="1" t="str">
        <f>"20529895.2"</f>
        <v>20529895.2</v>
      </c>
      <c r="C4428" t="s">
        <v>4420</v>
      </c>
      <c r="D4428" t="s">
        <v>4424</v>
      </c>
      <c r="E4428" s="2"/>
      <c r="F4428" t="s">
        <v>79</v>
      </c>
      <c r="G4428" t="s">
        <v>4028</v>
      </c>
      <c r="H4428" t="s">
        <v>1453</v>
      </c>
      <c r="I4428"/>
    </row>
    <row r="4429" spans="1:9">
      <c r="A4429" t="s">
        <v>4388</v>
      </c>
      <c r="B4429" s="1" t="str">
        <f>"20109462"</f>
        <v>20109462</v>
      </c>
      <c r="C4429" t="s">
        <v>4420</v>
      </c>
      <c r="D4429" t="s">
        <v>4425</v>
      </c>
      <c r="E4429" s="2"/>
      <c r="F4429" t="s">
        <v>380</v>
      </c>
      <c r="G4429" t="s">
        <v>4028</v>
      </c>
      <c r="H4429" t="s">
        <v>4028</v>
      </c>
      <c r="I4429"/>
    </row>
    <row r="4430" spans="1:9">
      <c r="A4430" t="s">
        <v>4388</v>
      </c>
      <c r="B4430" s="1" t="str">
        <f>"20109462.2"</f>
        <v>20109462.2</v>
      </c>
      <c r="C4430" t="s">
        <v>4420</v>
      </c>
      <c r="D4430" t="s">
        <v>4425</v>
      </c>
      <c r="E4430" s="2"/>
      <c r="F4430" t="s">
        <v>380</v>
      </c>
      <c r="G4430" t="s">
        <v>4028</v>
      </c>
      <c r="H4430" t="s">
        <v>1453</v>
      </c>
      <c r="I4430"/>
    </row>
    <row r="4431" spans="1:9">
      <c r="A4431" t="s">
        <v>4426</v>
      </c>
      <c r="B4431" s="1" t="str">
        <f>"20190044"</f>
        <v>20190044</v>
      </c>
      <c r="C4431" t="s">
        <v>4427</v>
      </c>
      <c r="D4431" t="s">
        <v>4428</v>
      </c>
      <c r="E4431" s="2"/>
      <c r="F4431" t="s">
        <v>66</v>
      </c>
      <c r="G4431" t="s">
        <v>25</v>
      </c>
      <c r="H4431" t="s">
        <v>25</v>
      </c>
      <c r="I4431"/>
    </row>
    <row r="4432" spans="1:9">
      <c r="A4432" t="s">
        <v>4426</v>
      </c>
      <c r="B4432" s="1" t="str">
        <f>"20938624"</f>
        <v>20938624</v>
      </c>
      <c r="C4432" t="s">
        <v>4427</v>
      </c>
      <c r="D4432" t="s">
        <v>4429</v>
      </c>
      <c r="E4432" s="2"/>
      <c r="F4432" t="s">
        <v>66</v>
      </c>
      <c r="G4432" t="s">
        <v>25</v>
      </c>
      <c r="H4432" t="s">
        <v>25</v>
      </c>
      <c r="I4432"/>
    </row>
    <row r="4433" spans="1:9">
      <c r="A4433" t="s">
        <v>4426</v>
      </c>
      <c r="B4433" s="1" t="str">
        <f>"20272235"</f>
        <v>20272235</v>
      </c>
      <c r="C4433" t="s">
        <v>4427</v>
      </c>
      <c r="D4433" t="s">
        <v>4430</v>
      </c>
      <c r="E4433" s="2"/>
      <c r="F4433" t="s">
        <v>66</v>
      </c>
      <c r="G4433" t="s">
        <v>1463</v>
      </c>
      <c r="H4433" t="s">
        <v>25</v>
      </c>
      <c r="I4433"/>
    </row>
    <row r="4434" spans="1:9">
      <c r="A4434" t="s">
        <v>4426</v>
      </c>
      <c r="B4434" s="1" t="str">
        <f>"20023720"</f>
        <v>20023720</v>
      </c>
      <c r="C4434" t="s">
        <v>4408</v>
      </c>
      <c r="D4434" t="s">
        <v>4431</v>
      </c>
      <c r="E4434" s="2"/>
      <c r="F4434" t="s">
        <v>129</v>
      </c>
      <c r="G4434" t="s">
        <v>29</v>
      </c>
      <c r="H4434" t="s">
        <v>29</v>
      </c>
      <c r="I4434"/>
    </row>
    <row r="4435" spans="1:9">
      <c r="A4435" t="s">
        <v>4426</v>
      </c>
      <c r="B4435" s="1" t="str">
        <f>"20023720.2"</f>
        <v>20023720.2</v>
      </c>
      <c r="C4435" t="s">
        <v>4408</v>
      </c>
      <c r="D4435" t="s">
        <v>4431</v>
      </c>
      <c r="E4435" s="2"/>
      <c r="F4435" t="s">
        <v>129</v>
      </c>
      <c r="G4435" t="s">
        <v>29</v>
      </c>
      <c r="H4435" t="s">
        <v>332</v>
      </c>
      <c r="I4435"/>
    </row>
    <row r="4436" spans="1:9">
      <c r="A4436" t="s">
        <v>4426</v>
      </c>
      <c r="B4436" s="1" t="str">
        <f>"20131692"</f>
        <v>20131692</v>
      </c>
      <c r="C4436" t="s">
        <v>4409</v>
      </c>
      <c r="D4436" t="s">
        <v>4432</v>
      </c>
      <c r="E4436" s="2"/>
      <c r="F4436" t="s">
        <v>4030</v>
      </c>
      <c r="G4436" t="s">
        <v>29</v>
      </c>
      <c r="H4436" t="s">
        <v>29</v>
      </c>
      <c r="I4436"/>
    </row>
    <row r="4437" spans="1:9">
      <c r="A4437" t="s">
        <v>4426</v>
      </c>
      <c r="B4437" s="1" t="str">
        <f>"20131692.2"</f>
        <v>20131692.2</v>
      </c>
      <c r="C4437" t="s">
        <v>4409</v>
      </c>
      <c r="D4437" t="s">
        <v>4432</v>
      </c>
      <c r="E4437" s="2"/>
      <c r="F4437" t="s">
        <v>4030</v>
      </c>
      <c r="G4437" t="s">
        <v>29</v>
      </c>
      <c r="H4437" t="s">
        <v>332</v>
      </c>
      <c r="I4437"/>
    </row>
    <row r="4438" spans="1:9">
      <c r="A4438" t="s">
        <v>4426</v>
      </c>
      <c r="B4438" s="1" t="str">
        <f>"20026172"</f>
        <v>20026172</v>
      </c>
      <c r="C4438" t="s">
        <v>4409</v>
      </c>
      <c r="D4438" t="s">
        <v>4433</v>
      </c>
      <c r="E4438" s="2"/>
      <c r="F4438" t="s">
        <v>2346</v>
      </c>
      <c r="G4438" t="s">
        <v>337</v>
      </c>
      <c r="H4438" t="s">
        <v>337</v>
      </c>
      <c r="I4438"/>
    </row>
    <row r="4439" spans="1:9">
      <c r="A4439" t="s">
        <v>4426</v>
      </c>
      <c r="B4439" s="1" t="str">
        <f>"20026172.2"</f>
        <v>20026172.2</v>
      </c>
      <c r="C4439" t="s">
        <v>4409</v>
      </c>
      <c r="D4439" t="s">
        <v>4433</v>
      </c>
      <c r="E4439" s="2"/>
      <c r="F4439" t="s">
        <v>2346</v>
      </c>
      <c r="G4439" t="s">
        <v>337</v>
      </c>
      <c r="H4439" t="s">
        <v>332</v>
      </c>
      <c r="I4439"/>
    </row>
    <row r="4440" spans="1:9">
      <c r="A4440" t="s">
        <v>4426</v>
      </c>
      <c r="B4440" s="1" t="str">
        <f>"20536787"</f>
        <v>20536787</v>
      </c>
      <c r="C4440" t="s">
        <v>4409</v>
      </c>
      <c r="D4440" t="s">
        <v>4434</v>
      </c>
      <c r="E4440" s="2"/>
      <c r="F4440" t="s">
        <v>2346</v>
      </c>
      <c r="G4440" t="s">
        <v>337</v>
      </c>
      <c r="H4440" t="s">
        <v>337</v>
      </c>
      <c r="I4440"/>
    </row>
    <row r="4441" spans="1:9">
      <c r="A4441" t="s">
        <v>4426</v>
      </c>
      <c r="B4441" s="1" t="str">
        <f>"20536787.2"</f>
        <v>20536787.2</v>
      </c>
      <c r="C4441" t="s">
        <v>4409</v>
      </c>
      <c r="D4441" t="s">
        <v>4434</v>
      </c>
      <c r="E4441" s="2"/>
      <c r="F4441" t="s">
        <v>2346</v>
      </c>
      <c r="G4441" t="s">
        <v>337</v>
      </c>
      <c r="H4441" t="s">
        <v>332</v>
      </c>
      <c r="I4441"/>
    </row>
    <row r="4442" spans="1:9">
      <c r="A4442" t="s">
        <v>4426</v>
      </c>
      <c r="B4442" s="1" t="str">
        <f>"20321798"</f>
        <v>20321798</v>
      </c>
      <c r="C4442" t="s">
        <v>4435</v>
      </c>
      <c r="D4442" t="s">
        <v>4436</v>
      </c>
      <c r="E4442" s="2"/>
      <c r="F4442" t="s">
        <v>66</v>
      </c>
      <c r="G4442" t="s">
        <v>370</v>
      </c>
      <c r="H4442" t="s">
        <v>370</v>
      </c>
      <c r="I4442"/>
    </row>
    <row r="4443" spans="1:9">
      <c r="A4443" t="s">
        <v>4426</v>
      </c>
      <c r="B4443" s="1" t="str">
        <f>"20321798.2"</f>
        <v>20321798.2</v>
      </c>
      <c r="C4443" t="s">
        <v>4435</v>
      </c>
      <c r="D4443" t="s">
        <v>4436</v>
      </c>
      <c r="E4443" s="2"/>
      <c r="F4443" t="s">
        <v>66</v>
      </c>
      <c r="G4443" t="s">
        <v>370</v>
      </c>
      <c r="H4443" t="s">
        <v>332</v>
      </c>
      <c r="I4443"/>
    </row>
    <row r="4444" spans="1:9">
      <c r="A4444" t="s">
        <v>4426</v>
      </c>
      <c r="B4444" s="1" t="str">
        <f>"20182651.2"</f>
        <v>20182651.2</v>
      </c>
      <c r="C4444" t="s">
        <v>4437</v>
      </c>
      <c r="D4444" t="s">
        <v>4438</v>
      </c>
      <c r="E4444" s="2"/>
      <c r="F4444" t="s">
        <v>4023</v>
      </c>
      <c r="G4444" t="s">
        <v>189</v>
      </c>
      <c r="H4444" t="s">
        <v>1453</v>
      </c>
      <c r="I4444"/>
    </row>
    <row r="4445" spans="1:9">
      <c r="A4445" t="s">
        <v>4426</v>
      </c>
      <c r="B4445" s="1" t="str">
        <f>"20182652"</f>
        <v>20182652</v>
      </c>
      <c r="C4445" t="s">
        <v>4437</v>
      </c>
      <c r="D4445" t="s">
        <v>4439</v>
      </c>
      <c r="E4445" s="2"/>
      <c r="F4445" t="s">
        <v>1461</v>
      </c>
      <c r="G4445" t="s">
        <v>25</v>
      </c>
      <c r="H4445" t="s">
        <v>25</v>
      </c>
      <c r="I4445"/>
    </row>
    <row r="4446" spans="1:9">
      <c r="A4446" t="s">
        <v>4426</v>
      </c>
      <c r="B4446" s="1" t="str">
        <f>"20182652.2"</f>
        <v>20182652.2</v>
      </c>
      <c r="C4446" t="s">
        <v>4437</v>
      </c>
      <c r="D4446" t="s">
        <v>4439</v>
      </c>
      <c r="E4446" s="2"/>
      <c r="F4446" t="s">
        <v>1461</v>
      </c>
      <c r="G4446" t="s">
        <v>25</v>
      </c>
      <c r="H4446" t="s">
        <v>332</v>
      </c>
      <c r="I4446"/>
    </row>
    <row r="4447" spans="1:9">
      <c r="A4447" t="s">
        <v>4426</v>
      </c>
      <c r="B4447" s="1" t="str">
        <f>"20182651"</f>
        <v>20182651</v>
      </c>
      <c r="C4447" t="s">
        <v>4437</v>
      </c>
      <c r="D4447" t="s">
        <v>4440</v>
      </c>
      <c r="E4447" s="2"/>
      <c r="F4447" t="s">
        <v>4023</v>
      </c>
      <c r="G4447" t="s">
        <v>189</v>
      </c>
      <c r="H4447" t="s">
        <v>189</v>
      </c>
      <c r="I4447"/>
    </row>
    <row r="4448" spans="1:9">
      <c r="A4448" t="s">
        <v>4441</v>
      </c>
      <c r="B4448" s="1" t="str">
        <f>"20216023"</f>
        <v>20216023</v>
      </c>
      <c r="C4448" t="s">
        <v>4098</v>
      </c>
      <c r="D4448" t="s">
        <v>4442</v>
      </c>
      <c r="E4448" s="2"/>
      <c r="F4448" t="s">
        <v>129</v>
      </c>
      <c r="G4448" t="s">
        <v>370</v>
      </c>
      <c r="H4448" t="s">
        <v>370</v>
      </c>
      <c r="I4448"/>
    </row>
    <row r="4449" spans="1:9">
      <c r="A4449" t="s">
        <v>4441</v>
      </c>
      <c r="B4449" s="1" t="str">
        <f>"20016420"</f>
        <v>20016420</v>
      </c>
      <c r="C4449" t="s">
        <v>4098</v>
      </c>
      <c r="D4449" t="s">
        <v>4443</v>
      </c>
      <c r="E4449" s="2"/>
      <c r="F4449" t="s">
        <v>4444</v>
      </c>
      <c r="G4449" t="s">
        <v>370</v>
      </c>
      <c r="H4449" t="s">
        <v>370</v>
      </c>
      <c r="I4449"/>
    </row>
    <row r="4450" spans="1:9">
      <c r="A4450" t="s">
        <v>4441</v>
      </c>
      <c r="B4450" s="1" t="str">
        <f>"20046699"</f>
        <v>20046699</v>
      </c>
      <c r="C4450" t="s">
        <v>4098</v>
      </c>
      <c r="D4450" t="s">
        <v>4445</v>
      </c>
      <c r="E4450" s="2"/>
      <c r="F4450" t="s">
        <v>66</v>
      </c>
      <c r="G4450" t="s">
        <v>25</v>
      </c>
      <c r="H4450" t="s">
        <v>370</v>
      </c>
      <c r="I4450"/>
    </row>
    <row r="4451" spans="1:9">
      <c r="A4451" t="s">
        <v>4441</v>
      </c>
      <c r="B4451" s="1" t="str">
        <f>"20016418"</f>
        <v>20016418</v>
      </c>
      <c r="C4451" t="s">
        <v>2481</v>
      </c>
      <c r="D4451" t="s">
        <v>4446</v>
      </c>
      <c r="E4451" s="2"/>
      <c r="F4451"/>
      <c r="G4451" t="s">
        <v>148</v>
      </c>
      <c r="H4451" t="s">
        <v>148</v>
      </c>
      <c r="I4451"/>
    </row>
    <row r="4452" spans="1:9">
      <c r="A4452" t="s">
        <v>4441</v>
      </c>
      <c r="B4452" s="1" t="str">
        <f>"20016419"</f>
        <v>20016419</v>
      </c>
      <c r="C4452" t="s">
        <v>2481</v>
      </c>
      <c r="D4452" t="s">
        <v>4447</v>
      </c>
      <c r="E4452" s="2"/>
      <c r="F4452" t="s">
        <v>380</v>
      </c>
      <c r="G4452" t="s">
        <v>189</v>
      </c>
      <c r="H4452" t="s">
        <v>189</v>
      </c>
      <c r="I4452"/>
    </row>
    <row r="4453" spans="1:9">
      <c r="A4453" t="s">
        <v>4441</v>
      </c>
      <c r="B4453" s="1" t="str">
        <f>"20043124"</f>
        <v>20043124</v>
      </c>
      <c r="C4453" t="s">
        <v>4405</v>
      </c>
      <c r="D4453" t="s">
        <v>4448</v>
      </c>
      <c r="E4453" s="2"/>
      <c r="F4453" t="s">
        <v>4021</v>
      </c>
      <c r="G4453" t="s">
        <v>189</v>
      </c>
      <c r="H4453" t="s">
        <v>189</v>
      </c>
      <c r="I4453"/>
    </row>
    <row r="4454" spans="1:9">
      <c r="A4454" t="s">
        <v>4441</v>
      </c>
      <c r="B4454" s="1" t="str">
        <f>"20043124.2"</f>
        <v>20043124.2</v>
      </c>
      <c r="C4454" t="s">
        <v>4405</v>
      </c>
      <c r="D4454" t="s">
        <v>4448</v>
      </c>
      <c r="E4454" s="2"/>
      <c r="F4454" t="s">
        <v>4021</v>
      </c>
      <c r="G4454" t="s">
        <v>189</v>
      </c>
      <c r="H4454" t="s">
        <v>1453</v>
      </c>
      <c r="I4454"/>
    </row>
    <row r="4455" spans="1:9">
      <c r="A4455" t="s">
        <v>4441</v>
      </c>
      <c r="B4455" s="1" t="str">
        <f>"28936495"</f>
        <v>28936495</v>
      </c>
      <c r="C4455" t="s">
        <v>1598</v>
      </c>
      <c r="D4455" t="s">
        <v>4449</v>
      </c>
      <c r="E4455" s="2"/>
      <c r="F4455" t="s">
        <v>380</v>
      </c>
      <c r="G4455" t="s">
        <v>122</v>
      </c>
      <c r="H4455" t="s">
        <v>122</v>
      </c>
      <c r="I4455"/>
    </row>
    <row r="4456" spans="1:9">
      <c r="A4456" t="s">
        <v>4441</v>
      </c>
      <c r="B4456" s="1" t="str">
        <f>"28936495.2"</f>
        <v>28936495.2</v>
      </c>
      <c r="C4456" t="s">
        <v>1598</v>
      </c>
      <c r="D4456" t="s">
        <v>4449</v>
      </c>
      <c r="E4456" s="2"/>
      <c r="F4456" t="s">
        <v>380</v>
      </c>
      <c r="G4456" t="s">
        <v>122</v>
      </c>
      <c r="H4456" t="s">
        <v>383</v>
      </c>
      <c r="I4456"/>
    </row>
    <row r="4457" spans="1:9">
      <c r="A4457" t="s">
        <v>4441</v>
      </c>
      <c r="B4457" s="1" t="str">
        <f>"20067454"</f>
        <v>20067454</v>
      </c>
      <c r="C4457" t="s">
        <v>4450</v>
      </c>
      <c r="D4457" t="s">
        <v>4451</v>
      </c>
      <c r="E4457" s="2"/>
      <c r="F4457" t="s">
        <v>4021</v>
      </c>
      <c r="G4457" t="s">
        <v>189</v>
      </c>
      <c r="H4457" t="s">
        <v>189</v>
      </c>
      <c r="I4457"/>
    </row>
    <row r="4458" spans="1:9">
      <c r="A4458" t="s">
        <v>4441</v>
      </c>
      <c r="B4458" s="1" t="str">
        <f>"20067454.2"</f>
        <v>20067454.2</v>
      </c>
      <c r="C4458" t="s">
        <v>4450</v>
      </c>
      <c r="D4458" t="s">
        <v>4451</v>
      </c>
      <c r="E4458" s="2"/>
      <c r="F4458" t="s">
        <v>4021</v>
      </c>
      <c r="G4458" t="s">
        <v>189</v>
      </c>
      <c r="H4458" t="s">
        <v>1453</v>
      </c>
      <c r="I4458"/>
    </row>
    <row r="4459" spans="1:9">
      <c r="A4459" t="s">
        <v>4441</v>
      </c>
      <c r="B4459" s="1" t="str">
        <f>"20044039"</f>
        <v>20044039</v>
      </c>
      <c r="C4459" t="s">
        <v>4452</v>
      </c>
      <c r="D4459" t="s">
        <v>4453</v>
      </c>
      <c r="E4459" s="2"/>
      <c r="F4459"/>
      <c r="G4459" t="s">
        <v>3990</v>
      </c>
      <c r="H4459" t="s">
        <v>3990</v>
      </c>
      <c r="I4459"/>
    </row>
    <row r="4460" spans="1:9">
      <c r="A4460" t="s">
        <v>4441</v>
      </c>
      <c r="B4460" s="1" t="str">
        <f>"20940832"</f>
        <v>20940832</v>
      </c>
      <c r="C4460" t="s">
        <v>4452</v>
      </c>
      <c r="D4460" t="s">
        <v>4454</v>
      </c>
      <c r="E4460" s="2"/>
      <c r="F4460"/>
      <c r="G4460" t="s">
        <v>3990</v>
      </c>
      <c r="H4460" t="s">
        <v>3990</v>
      </c>
      <c r="I4460"/>
    </row>
    <row r="4461" spans="1:9">
      <c r="A4461" t="s">
        <v>4441</v>
      </c>
      <c r="B4461" s="1" t="str">
        <f>"20076221"</f>
        <v>20076221</v>
      </c>
      <c r="C4461" t="s">
        <v>4452</v>
      </c>
      <c r="D4461" t="s">
        <v>4455</v>
      </c>
      <c r="E4461" s="2"/>
      <c r="F4461" t="s">
        <v>4023</v>
      </c>
      <c r="G4461" t="s">
        <v>189</v>
      </c>
      <c r="H4461" t="s">
        <v>189</v>
      </c>
      <c r="I4461"/>
    </row>
    <row r="4462" spans="1:9">
      <c r="A4462" t="s">
        <v>4441</v>
      </c>
      <c r="B4462" s="1" t="str">
        <f>"20076221.2"</f>
        <v>20076221.2</v>
      </c>
      <c r="C4462" t="s">
        <v>4452</v>
      </c>
      <c r="D4462" t="s">
        <v>4455</v>
      </c>
      <c r="E4462" s="2"/>
      <c r="F4462" t="s">
        <v>4023</v>
      </c>
      <c r="G4462" t="s">
        <v>189</v>
      </c>
      <c r="H4462" t="s">
        <v>1453</v>
      </c>
      <c r="I4462"/>
    </row>
    <row r="4463" spans="1:9">
      <c r="A4463" t="s">
        <v>4441</v>
      </c>
      <c r="B4463" s="1" t="str">
        <f>"20043193"</f>
        <v>20043193</v>
      </c>
      <c r="C4463" t="s">
        <v>4452</v>
      </c>
      <c r="D4463" t="s">
        <v>4456</v>
      </c>
      <c r="E4463" s="2"/>
      <c r="F4463" t="s">
        <v>4021</v>
      </c>
      <c r="G4463" t="s">
        <v>189</v>
      </c>
      <c r="H4463" t="s">
        <v>189</v>
      </c>
      <c r="I4463"/>
    </row>
    <row r="4464" spans="1:9">
      <c r="A4464" t="s">
        <v>4457</v>
      </c>
      <c r="B4464" s="1" t="str">
        <f>"20076009"</f>
        <v>20076009</v>
      </c>
      <c r="C4464" t="s">
        <v>225</v>
      </c>
      <c r="D4464" t="s">
        <v>4458</v>
      </c>
      <c r="E4464" s="2"/>
      <c r="F4464" t="s">
        <v>331</v>
      </c>
      <c r="G4464" t="s">
        <v>352</v>
      </c>
      <c r="H4464" t="s">
        <v>352</v>
      </c>
      <c r="I4464"/>
    </row>
    <row r="4465" spans="1:9">
      <c r="A4465" t="s">
        <v>4459</v>
      </c>
      <c r="B4465" s="1" t="str">
        <f>"12014111"</f>
        <v>12014111</v>
      </c>
      <c r="C4465" t="s">
        <v>4460</v>
      </c>
      <c r="D4465" t="s">
        <v>4461</v>
      </c>
      <c r="E4465" s="2"/>
      <c r="F4465"/>
      <c r="G4465" t="s">
        <v>4462</v>
      </c>
      <c r="H4465" t="s">
        <v>2539</v>
      </c>
      <c r="I4465"/>
    </row>
    <row r="4466" spans="1:9">
      <c r="A4466" t="s">
        <v>4459</v>
      </c>
      <c r="B4466" s="1" t="str">
        <f>"12018206"</f>
        <v>12018206</v>
      </c>
      <c r="C4466" t="s">
        <v>4460</v>
      </c>
      <c r="D4466" t="s">
        <v>4463</v>
      </c>
      <c r="E4466" s="2"/>
      <c r="F4466"/>
      <c r="G4466" t="s">
        <v>232</v>
      </c>
      <c r="H4466" t="s">
        <v>218</v>
      </c>
      <c r="I4466"/>
    </row>
    <row r="4467" spans="1:9">
      <c r="A4467" t="s">
        <v>4459</v>
      </c>
      <c r="B4467" s="1" t="str">
        <f>"12525781"</f>
        <v>12525781</v>
      </c>
      <c r="C4467" t="s">
        <v>4460</v>
      </c>
      <c r="D4467" t="s">
        <v>4464</v>
      </c>
      <c r="E4467" s="2"/>
      <c r="F4467"/>
      <c r="G4467" t="s">
        <v>80</v>
      </c>
      <c r="H4467" t="s">
        <v>218</v>
      </c>
      <c r="I4467"/>
    </row>
    <row r="4468" spans="1:9">
      <c r="A4468" t="s">
        <v>4459</v>
      </c>
      <c r="B4468" s="1" t="str">
        <f>"12018204"</f>
        <v>12018204</v>
      </c>
      <c r="C4468" t="s">
        <v>4460</v>
      </c>
      <c r="D4468" t="s">
        <v>4465</v>
      </c>
      <c r="E4468" s="2"/>
      <c r="F4468"/>
      <c r="G4468" t="s">
        <v>82</v>
      </c>
      <c r="H4468" t="s">
        <v>218</v>
      </c>
      <c r="I4468"/>
    </row>
    <row r="4469" spans="1:9">
      <c r="A4469" t="s">
        <v>4459</v>
      </c>
      <c r="B4469" s="1" t="str">
        <f>"12018203"</f>
        <v>12018203</v>
      </c>
      <c r="C4469" t="s">
        <v>4460</v>
      </c>
      <c r="D4469" t="s">
        <v>4466</v>
      </c>
      <c r="E4469" s="2"/>
      <c r="F4469"/>
      <c r="G4469" t="s">
        <v>82</v>
      </c>
      <c r="H4469" t="s">
        <v>218</v>
      </c>
      <c r="I4469"/>
    </row>
    <row r="4470" spans="1:9">
      <c r="A4470" t="s">
        <v>4459</v>
      </c>
      <c r="B4470" s="1" t="str">
        <f>"12014114"</f>
        <v>12014114</v>
      </c>
      <c r="C4470" t="s">
        <v>4460</v>
      </c>
      <c r="D4470" t="s">
        <v>4467</v>
      </c>
      <c r="E4470" s="2"/>
      <c r="F4470"/>
      <c r="G4470" t="s">
        <v>4068</v>
      </c>
      <c r="H4470" t="s">
        <v>2539</v>
      </c>
      <c r="I4470"/>
    </row>
    <row r="4471" spans="1:9">
      <c r="A4471" t="s">
        <v>4459</v>
      </c>
      <c r="B4471" s="1" t="str">
        <f>"12011297"</f>
        <v>12011297</v>
      </c>
      <c r="C4471" t="s">
        <v>4460</v>
      </c>
      <c r="D4471" t="s">
        <v>4468</v>
      </c>
      <c r="E4471" s="2"/>
      <c r="F4471"/>
      <c r="G4471" t="s">
        <v>19</v>
      </c>
      <c r="H4471" t="s">
        <v>218</v>
      </c>
      <c r="I4471"/>
    </row>
    <row r="4472" spans="1:9">
      <c r="A4472" t="s">
        <v>4459</v>
      </c>
      <c r="B4472" s="1" t="str">
        <f>"12011294"</f>
        <v>12011294</v>
      </c>
      <c r="C4472" t="s">
        <v>4460</v>
      </c>
      <c r="D4472" t="s">
        <v>4469</v>
      </c>
      <c r="E4472" s="2"/>
      <c r="F4472"/>
      <c r="G4472" t="s">
        <v>13</v>
      </c>
      <c r="H4472" t="s">
        <v>218</v>
      </c>
      <c r="I4472"/>
    </row>
    <row r="4473" spans="1:9">
      <c r="A4473" t="s">
        <v>4459</v>
      </c>
      <c r="B4473" s="1" t="str">
        <f>"12012744"</f>
        <v>12012744</v>
      </c>
      <c r="C4473" t="s">
        <v>4460</v>
      </c>
      <c r="D4473" t="s">
        <v>4470</v>
      </c>
      <c r="E4473" s="2"/>
      <c r="F4473"/>
      <c r="G4473" t="s">
        <v>177</v>
      </c>
      <c r="H4473" t="s">
        <v>218</v>
      </c>
      <c r="I4473"/>
    </row>
    <row r="4474" spans="1:9">
      <c r="A4474" t="s">
        <v>4459</v>
      </c>
      <c r="B4474" s="1" t="str">
        <f>"12012747"</f>
        <v>12012747</v>
      </c>
      <c r="C4474" t="s">
        <v>4460</v>
      </c>
      <c r="D4474" t="s">
        <v>4471</v>
      </c>
      <c r="E4474" s="2"/>
      <c r="F4474"/>
      <c r="G4474" t="s">
        <v>177</v>
      </c>
      <c r="H4474" t="s">
        <v>218</v>
      </c>
      <c r="I4474"/>
    </row>
    <row r="4475" spans="1:9">
      <c r="A4475" t="s">
        <v>4459</v>
      </c>
      <c r="B4475" s="1" t="str">
        <f>"12018201"</f>
        <v>12018201</v>
      </c>
      <c r="C4475" t="s">
        <v>4460</v>
      </c>
      <c r="D4475" t="s">
        <v>4472</v>
      </c>
      <c r="E4475" s="2"/>
      <c r="F4475"/>
      <c r="G4475" t="s">
        <v>19</v>
      </c>
      <c r="H4475" t="s">
        <v>218</v>
      </c>
      <c r="I4475"/>
    </row>
    <row r="4476" spans="1:9">
      <c r="A4476" t="s">
        <v>4459</v>
      </c>
      <c r="B4476" s="1" t="str">
        <f>"12019002"</f>
        <v>12019002</v>
      </c>
      <c r="C4476" t="s">
        <v>4460</v>
      </c>
      <c r="D4476" t="s">
        <v>4473</v>
      </c>
      <c r="E4476" s="2"/>
      <c r="F4476"/>
      <c r="G4476" t="s">
        <v>218</v>
      </c>
      <c r="H4476" t="s">
        <v>218</v>
      </c>
      <c r="I4476"/>
    </row>
    <row r="4477" spans="1:9">
      <c r="A4477" t="s">
        <v>4459</v>
      </c>
      <c r="B4477" s="1" t="str">
        <f>"12012809"</f>
        <v>12012809</v>
      </c>
      <c r="C4477" t="s">
        <v>4460</v>
      </c>
      <c r="D4477" t="s">
        <v>4474</v>
      </c>
      <c r="E4477" s="2"/>
      <c r="F4477"/>
      <c r="G4477" t="s">
        <v>19</v>
      </c>
      <c r="H4477" t="s">
        <v>218</v>
      </c>
      <c r="I4477"/>
    </row>
    <row r="4478" spans="1:9">
      <c r="A4478" t="s">
        <v>4459</v>
      </c>
      <c r="B4478" s="1" t="str">
        <f>"12019001"</f>
        <v>12019001</v>
      </c>
      <c r="C4478" t="s">
        <v>4460</v>
      </c>
      <c r="D4478" t="s">
        <v>4475</v>
      </c>
      <c r="E4478" s="2"/>
      <c r="F4478"/>
      <c r="G4478" t="s">
        <v>218</v>
      </c>
      <c r="H4478" t="s">
        <v>218</v>
      </c>
      <c r="I4478"/>
    </row>
    <row r="4479" spans="1:9">
      <c r="A4479" t="s">
        <v>4459</v>
      </c>
      <c r="B4479" s="1" t="str">
        <f>"12110621"</f>
        <v>12110621</v>
      </c>
      <c r="C4479" t="s">
        <v>4460</v>
      </c>
      <c r="D4479" t="s">
        <v>4476</v>
      </c>
      <c r="E4479" s="2"/>
      <c r="F4479"/>
      <c r="G4479" t="s">
        <v>287</v>
      </c>
      <c r="H4479" t="s">
        <v>218</v>
      </c>
      <c r="I4479"/>
    </row>
    <row r="4480" spans="1:9">
      <c r="A4480" t="s">
        <v>4459</v>
      </c>
      <c r="B4480" s="1" t="str">
        <f>"12161173"</f>
        <v>12161173</v>
      </c>
      <c r="C4480" t="s">
        <v>4460</v>
      </c>
      <c r="D4480" t="s">
        <v>4477</v>
      </c>
      <c r="E4480" s="2"/>
      <c r="F4480"/>
      <c r="G4480" t="s">
        <v>795</v>
      </c>
      <c r="H4480" t="s">
        <v>218</v>
      </c>
      <c r="I4480"/>
    </row>
    <row r="4481" spans="1:9">
      <c r="A4481" t="s">
        <v>4459</v>
      </c>
      <c r="B4481" s="1" t="str">
        <f>"12016160"</f>
        <v>12016160</v>
      </c>
      <c r="C4481" t="s">
        <v>4460</v>
      </c>
      <c r="D4481" t="s">
        <v>4478</v>
      </c>
      <c r="E4481" s="2"/>
      <c r="F4481"/>
      <c r="G4481" t="s">
        <v>232</v>
      </c>
      <c r="H4481" t="s">
        <v>218</v>
      </c>
      <c r="I4481"/>
    </row>
    <row r="4482" spans="1:9">
      <c r="A4482" t="s">
        <v>4459</v>
      </c>
      <c r="B4482" s="1" t="str">
        <f>"12085066"</f>
        <v>12085066</v>
      </c>
      <c r="C4482" t="s">
        <v>4460</v>
      </c>
      <c r="D4482" t="s">
        <v>4479</v>
      </c>
      <c r="E4482" s="2"/>
      <c r="F4482"/>
      <c r="G4482" t="s">
        <v>177</v>
      </c>
      <c r="H4482" t="s">
        <v>218</v>
      </c>
      <c r="I4482"/>
    </row>
    <row r="4483" spans="1:9">
      <c r="A4483" t="s">
        <v>4459</v>
      </c>
      <c r="B4483" s="1" t="str">
        <f>"12019004"</f>
        <v>12019004</v>
      </c>
      <c r="C4483" t="s">
        <v>4460</v>
      </c>
      <c r="D4483" t="s">
        <v>4480</v>
      </c>
      <c r="E4483" s="2"/>
      <c r="F4483"/>
      <c r="G4483" t="s">
        <v>177</v>
      </c>
      <c r="H4483" t="s">
        <v>218</v>
      </c>
      <c r="I4483"/>
    </row>
    <row r="4484" spans="1:9">
      <c r="A4484" t="s">
        <v>4459</v>
      </c>
      <c r="B4484" s="1" t="str">
        <f>"12554156"</f>
        <v>12554156</v>
      </c>
      <c r="C4484" t="s">
        <v>4460</v>
      </c>
      <c r="D4484" t="s">
        <v>4481</v>
      </c>
      <c r="E4484" s="2"/>
      <c r="F4484"/>
      <c r="G4484" t="s">
        <v>156</v>
      </c>
      <c r="H4484" t="s">
        <v>383</v>
      </c>
      <c r="I4484"/>
    </row>
    <row r="4485" spans="1:9">
      <c r="A4485" t="s">
        <v>4482</v>
      </c>
      <c r="B4485" s="1" t="str">
        <f>"12459054"</f>
        <v>12459054</v>
      </c>
      <c r="C4485" t="s">
        <v>4483</v>
      </c>
      <c r="D4485" t="s">
        <v>4484</v>
      </c>
      <c r="E4485" s="2"/>
      <c r="F4485" t="s">
        <v>4485</v>
      </c>
      <c r="G4485"/>
      <c r="H4485" t="s">
        <v>218</v>
      </c>
      <c r="I4485"/>
    </row>
    <row r="4486" spans="1:9">
      <c r="A4486" t="s">
        <v>4482</v>
      </c>
      <c r="B4486" s="1" t="str">
        <f>"12035334"</f>
        <v>12035334</v>
      </c>
      <c r="C4486" t="s">
        <v>4483</v>
      </c>
      <c r="D4486" t="s">
        <v>4486</v>
      </c>
      <c r="E4486" s="2"/>
      <c r="F4486" t="s">
        <v>4485</v>
      </c>
      <c r="G4486"/>
      <c r="H4486" t="s">
        <v>218</v>
      </c>
      <c r="I4486"/>
    </row>
    <row r="4487" spans="1:9">
      <c r="A4487" t="s">
        <v>4482</v>
      </c>
      <c r="B4487" s="1" t="str">
        <f>"12459085"</f>
        <v>12459085</v>
      </c>
      <c r="C4487" t="s">
        <v>4483</v>
      </c>
      <c r="D4487" t="s">
        <v>4487</v>
      </c>
      <c r="E4487" s="2"/>
      <c r="F4487" t="s">
        <v>4485</v>
      </c>
      <c r="G4487"/>
      <c r="H4487" t="s">
        <v>218</v>
      </c>
      <c r="I4487"/>
    </row>
    <row r="4488" spans="1:9">
      <c r="A4488" t="s">
        <v>4482</v>
      </c>
      <c r="B4488" s="1" t="str">
        <f>"12019005"</f>
        <v>12019005</v>
      </c>
      <c r="C4488" t="s">
        <v>225</v>
      </c>
      <c r="D4488" t="s">
        <v>4488</v>
      </c>
      <c r="E4488" s="2"/>
      <c r="F4488" t="s">
        <v>4489</v>
      </c>
      <c r="G4488"/>
      <c r="H4488" t="s">
        <v>218</v>
      </c>
      <c r="I4488"/>
    </row>
    <row r="4489" spans="1:9">
      <c r="A4489" t="s">
        <v>4482</v>
      </c>
      <c r="B4489" s="1" t="str">
        <f>"12070444"</f>
        <v>12070444</v>
      </c>
      <c r="C4489" t="s">
        <v>225</v>
      </c>
      <c r="D4489" t="s">
        <v>4490</v>
      </c>
      <c r="E4489" s="2"/>
      <c r="F4489" t="s">
        <v>2813</v>
      </c>
      <c r="G4489"/>
      <c r="H4489" t="s">
        <v>218</v>
      </c>
      <c r="I4489"/>
    </row>
    <row r="4490" spans="1:9">
      <c r="A4490" t="s">
        <v>4482</v>
      </c>
      <c r="B4490" s="1" t="str">
        <f>"12512746"</f>
        <v>12512746</v>
      </c>
      <c r="C4490" t="s">
        <v>225</v>
      </c>
      <c r="D4490" t="s">
        <v>4491</v>
      </c>
      <c r="E4490" s="2"/>
      <c r="F4490" t="s">
        <v>4489</v>
      </c>
      <c r="G4490"/>
      <c r="H4490" t="s">
        <v>218</v>
      </c>
      <c r="I4490"/>
    </row>
    <row r="4491" spans="1:9">
      <c r="A4491" t="s">
        <v>4482</v>
      </c>
      <c r="B4491" s="1" t="str">
        <f>"12090169"</f>
        <v>12090169</v>
      </c>
      <c r="C4491" t="s">
        <v>225</v>
      </c>
      <c r="D4491" t="s">
        <v>4492</v>
      </c>
      <c r="E4491" s="2"/>
      <c r="F4491" t="s">
        <v>4493</v>
      </c>
      <c r="G4491" t="s">
        <v>287</v>
      </c>
      <c r="H4491" t="s">
        <v>218</v>
      </c>
      <c r="I4491"/>
    </row>
    <row r="4492" spans="1:9">
      <c r="A4492" t="s">
        <v>4494</v>
      </c>
      <c r="B4492" s="1" t="str">
        <f>"12031416"</f>
        <v>12031416</v>
      </c>
      <c r="C4492" t="s">
        <v>4495</v>
      </c>
      <c r="D4492" t="s">
        <v>4496</v>
      </c>
      <c r="E4492" s="2"/>
      <c r="F4492"/>
      <c r="G4492" t="s">
        <v>4000</v>
      </c>
      <c r="H4492" t="s">
        <v>2539</v>
      </c>
      <c r="I4492"/>
    </row>
    <row r="4493" spans="1:9">
      <c r="A4493" t="s">
        <v>4494</v>
      </c>
      <c r="B4493" s="1" t="str">
        <f>"12161555"</f>
        <v>12161555</v>
      </c>
      <c r="C4493" t="s">
        <v>4495</v>
      </c>
      <c r="D4493" t="s">
        <v>4497</v>
      </c>
      <c r="E4493" s="2"/>
      <c r="F4493"/>
      <c r="G4493" t="s">
        <v>4000</v>
      </c>
      <c r="H4493" t="s">
        <v>2539</v>
      </c>
      <c r="I4493"/>
    </row>
    <row r="4494" spans="1:9">
      <c r="A4494" t="s">
        <v>4494</v>
      </c>
      <c r="B4494" s="1" t="str">
        <f>"12702879"</f>
        <v>12702879</v>
      </c>
      <c r="C4494" t="s">
        <v>4495</v>
      </c>
      <c r="D4494" t="s">
        <v>4498</v>
      </c>
      <c r="E4494" s="2"/>
      <c r="F4494"/>
      <c r="G4494" t="s">
        <v>4000</v>
      </c>
      <c r="H4494" t="s">
        <v>2539</v>
      </c>
      <c r="I4494"/>
    </row>
    <row r="4495" spans="1:9">
      <c r="A4495" t="s">
        <v>4494</v>
      </c>
      <c r="B4495" s="1" t="str">
        <f>"12832603"</f>
        <v>12832603</v>
      </c>
      <c r="C4495" t="s">
        <v>4495</v>
      </c>
      <c r="D4495" t="s">
        <v>4499</v>
      </c>
      <c r="E4495" s="2"/>
      <c r="F4495"/>
      <c r="G4495" t="s">
        <v>4500</v>
      </c>
      <c r="H4495" t="s">
        <v>2539</v>
      </c>
      <c r="I4495"/>
    </row>
    <row r="4496" spans="1:9">
      <c r="A4496" t="s">
        <v>4494</v>
      </c>
      <c r="B4496" s="1" t="str">
        <f>"12379000"</f>
        <v>12379000</v>
      </c>
      <c r="C4496" t="s">
        <v>4495</v>
      </c>
      <c r="D4496" t="s">
        <v>4501</v>
      </c>
      <c r="E4496" s="2"/>
      <c r="F4496"/>
      <c r="G4496" t="s">
        <v>4500</v>
      </c>
      <c r="H4496" t="s">
        <v>2539</v>
      </c>
      <c r="I4496"/>
    </row>
    <row r="4497" spans="1:9">
      <c r="A4497" t="s">
        <v>4494</v>
      </c>
      <c r="B4497" s="1" t="str">
        <f>"12161552"</f>
        <v>12161552</v>
      </c>
      <c r="C4497" t="s">
        <v>4495</v>
      </c>
      <c r="D4497" t="s">
        <v>4502</v>
      </c>
      <c r="E4497" s="2"/>
      <c r="F4497"/>
      <c r="G4497" t="s">
        <v>4068</v>
      </c>
      <c r="H4497" t="s">
        <v>2539</v>
      </c>
      <c r="I4497"/>
    </row>
    <row r="4498" spans="1:9">
      <c r="A4498" t="s">
        <v>4494</v>
      </c>
      <c r="B4498" s="1" t="str">
        <f>"12031100"</f>
        <v>12031100</v>
      </c>
      <c r="C4498" t="s">
        <v>4495</v>
      </c>
      <c r="D4498" t="s">
        <v>4503</v>
      </c>
      <c r="E4498" s="2"/>
      <c r="F4498"/>
      <c r="G4498" t="s">
        <v>4000</v>
      </c>
      <c r="H4498" t="s">
        <v>2539</v>
      </c>
      <c r="I4498"/>
    </row>
    <row r="4499" spans="1:9">
      <c r="A4499" t="s">
        <v>4504</v>
      </c>
      <c r="B4499" s="1" t="str">
        <f>"24437796"</f>
        <v>24437796</v>
      </c>
      <c r="C4499" t="s">
        <v>225</v>
      </c>
      <c r="D4499" t="s">
        <v>4505</v>
      </c>
      <c r="E4499" s="2"/>
      <c r="F4499"/>
      <c r="G4499" t="s">
        <v>19</v>
      </c>
      <c r="H4499" t="s">
        <v>19</v>
      </c>
      <c r="I4499"/>
    </row>
    <row r="4500" spans="1:9">
      <c r="A4500" t="s">
        <v>4504</v>
      </c>
      <c r="B4500" s="1" t="str">
        <f>"21067433"</f>
        <v>21067433</v>
      </c>
      <c r="C4500" t="s">
        <v>225</v>
      </c>
      <c r="D4500" t="s">
        <v>4506</v>
      </c>
      <c r="E4500" s="2"/>
      <c r="F4500"/>
      <c r="G4500" t="s">
        <v>75</v>
      </c>
      <c r="H4500" t="s">
        <v>75</v>
      </c>
      <c r="I4500"/>
    </row>
    <row r="4501" spans="1:9">
      <c r="A4501" t="s">
        <v>4504</v>
      </c>
      <c r="B4501" s="1" t="str">
        <f>"23151468"</f>
        <v>23151468</v>
      </c>
      <c r="C4501" t="s">
        <v>225</v>
      </c>
      <c r="D4501" t="s">
        <v>4507</v>
      </c>
      <c r="E4501" s="2"/>
      <c r="F4501"/>
      <c r="G4501" t="s">
        <v>262</v>
      </c>
      <c r="H4501" t="s">
        <v>262</v>
      </c>
      <c r="I4501"/>
    </row>
    <row r="4502" spans="1:9">
      <c r="A4502" t="s">
        <v>4504</v>
      </c>
      <c r="B4502" s="1" t="str">
        <f>"20043186"</f>
        <v>20043186</v>
      </c>
      <c r="C4502" t="s">
        <v>225</v>
      </c>
      <c r="D4502" t="s">
        <v>4508</v>
      </c>
      <c r="E4502" s="2"/>
      <c r="F4502"/>
      <c r="G4502" t="s">
        <v>533</v>
      </c>
      <c r="H4502" t="s">
        <v>533</v>
      </c>
      <c r="I4502"/>
    </row>
    <row r="4503" spans="1:9">
      <c r="A4503" t="s">
        <v>4509</v>
      </c>
      <c r="B4503" s="1" t="str">
        <f>"12013826"</f>
        <v>12013826</v>
      </c>
      <c r="C4503" t="s">
        <v>4460</v>
      </c>
      <c r="D4503" t="s">
        <v>4510</v>
      </c>
      <c r="E4503" s="2"/>
      <c r="F4503"/>
      <c r="G4503" t="s">
        <v>82</v>
      </c>
      <c r="H4503" t="s">
        <v>218</v>
      </c>
      <c r="I4503"/>
    </row>
    <row r="4504" spans="1:9">
      <c r="A4504" t="s">
        <v>4504</v>
      </c>
      <c r="B4504" s="1" t="str">
        <f>"12064194"</f>
        <v>12064194</v>
      </c>
      <c r="C4504" t="s">
        <v>4460</v>
      </c>
      <c r="D4504" t="s">
        <v>4511</v>
      </c>
      <c r="E4504" s="2"/>
      <c r="F4504"/>
      <c r="G4504" t="s">
        <v>82</v>
      </c>
      <c r="H4504" t="s">
        <v>218</v>
      </c>
      <c r="I4504"/>
    </row>
    <row r="4505" spans="1:9">
      <c r="A4505" t="s">
        <v>4509</v>
      </c>
      <c r="B4505" s="1" t="str">
        <f>"12019007"</f>
        <v>12019007</v>
      </c>
      <c r="C4505" t="s">
        <v>4460</v>
      </c>
      <c r="D4505" t="s">
        <v>4512</v>
      </c>
      <c r="E4505" s="2"/>
      <c r="F4505"/>
      <c r="G4505" t="s">
        <v>82</v>
      </c>
      <c r="H4505" t="s">
        <v>218</v>
      </c>
      <c r="I4505"/>
    </row>
    <row r="4506" spans="1:9">
      <c r="A4506" t="s">
        <v>4504</v>
      </c>
      <c r="B4506" s="1" t="str">
        <f>"12036169"</f>
        <v>12036169</v>
      </c>
      <c r="C4506" t="s">
        <v>4460</v>
      </c>
      <c r="D4506" t="s">
        <v>4513</v>
      </c>
      <c r="E4506" s="2"/>
      <c r="F4506"/>
      <c r="G4506" t="s">
        <v>80</v>
      </c>
      <c r="H4506" t="s">
        <v>218</v>
      </c>
      <c r="I4506"/>
    </row>
    <row r="4507" spans="1:9">
      <c r="A4507" t="s">
        <v>4509</v>
      </c>
      <c r="B4507" s="1" t="str">
        <f>"12017808"</f>
        <v>12017808</v>
      </c>
      <c r="C4507" t="s">
        <v>4460</v>
      </c>
      <c r="D4507" t="s">
        <v>4514</v>
      </c>
      <c r="E4507" s="2"/>
      <c r="F4507"/>
      <c r="G4507" t="s">
        <v>80</v>
      </c>
      <c r="H4507" t="s">
        <v>218</v>
      </c>
      <c r="I4507"/>
    </row>
    <row r="4508" spans="1:9">
      <c r="A4508" t="s">
        <v>4504</v>
      </c>
      <c r="B4508" s="1" t="str">
        <f>"12018957"</f>
        <v>12018957</v>
      </c>
      <c r="C4508" t="s">
        <v>4460</v>
      </c>
      <c r="D4508" t="s">
        <v>4515</v>
      </c>
      <c r="E4508" s="2"/>
      <c r="F4508"/>
      <c r="G4508" t="s">
        <v>75</v>
      </c>
      <c r="H4508" t="s">
        <v>218</v>
      </c>
      <c r="I4508"/>
    </row>
    <row r="4509" spans="1:9">
      <c r="A4509" t="s">
        <v>4504</v>
      </c>
      <c r="B4509" s="1" t="str">
        <f>"12016169"</f>
        <v>12016169</v>
      </c>
      <c r="C4509" t="s">
        <v>4460</v>
      </c>
      <c r="D4509" t="s">
        <v>4516</v>
      </c>
      <c r="E4509" s="2"/>
      <c r="F4509"/>
      <c r="G4509" t="s">
        <v>80</v>
      </c>
      <c r="H4509" t="s">
        <v>218</v>
      </c>
      <c r="I4509"/>
    </row>
    <row r="4510" spans="1:9">
      <c r="A4510" t="s">
        <v>4504</v>
      </c>
      <c r="B4510" s="1" t="str">
        <f>"12016846"</f>
        <v>12016846</v>
      </c>
      <c r="C4510" t="s">
        <v>4460</v>
      </c>
      <c r="D4510" t="s">
        <v>4517</v>
      </c>
      <c r="E4510" s="2"/>
      <c r="F4510"/>
      <c r="G4510" t="s">
        <v>80</v>
      </c>
      <c r="H4510" t="s">
        <v>218</v>
      </c>
      <c r="I4510"/>
    </row>
    <row r="4511" spans="1:9">
      <c r="A4511" t="s">
        <v>4504</v>
      </c>
      <c r="B4511" s="1" t="str">
        <f>"12061469"</f>
        <v>12061469</v>
      </c>
      <c r="C4511" t="s">
        <v>4460</v>
      </c>
      <c r="D4511" t="s">
        <v>4518</v>
      </c>
      <c r="E4511" s="2"/>
      <c r="F4511"/>
      <c r="G4511" t="s">
        <v>80</v>
      </c>
      <c r="H4511" t="s">
        <v>218</v>
      </c>
      <c r="I4511"/>
    </row>
    <row r="4512" spans="1:9">
      <c r="A4512" t="s">
        <v>4504</v>
      </c>
      <c r="B4512" s="1" t="str">
        <f>"12013811"</f>
        <v>12013811</v>
      </c>
      <c r="C4512" t="s">
        <v>4460</v>
      </c>
      <c r="D4512" t="s">
        <v>4519</v>
      </c>
      <c r="E4512" s="2"/>
      <c r="F4512"/>
      <c r="G4512" t="s">
        <v>19</v>
      </c>
      <c r="H4512" t="s">
        <v>218</v>
      </c>
      <c r="I4512"/>
    </row>
    <row r="4513" spans="1:9">
      <c r="A4513" t="s">
        <v>4504</v>
      </c>
      <c r="B4513" s="1" t="str">
        <f>"12013809"</f>
        <v>12013809</v>
      </c>
      <c r="C4513" t="s">
        <v>4460</v>
      </c>
      <c r="D4513" t="s">
        <v>4520</v>
      </c>
      <c r="E4513" s="2"/>
      <c r="F4513"/>
      <c r="G4513" t="s">
        <v>19</v>
      </c>
      <c r="H4513" t="s">
        <v>218</v>
      </c>
      <c r="I4513"/>
    </row>
    <row r="4514" spans="1:9">
      <c r="A4514" t="s">
        <v>4504</v>
      </c>
      <c r="B4514" s="1" t="str">
        <f>"12017981"</f>
        <v>12017981</v>
      </c>
      <c r="C4514" t="s">
        <v>4460</v>
      </c>
      <c r="D4514" t="s">
        <v>4521</v>
      </c>
      <c r="E4514" s="2"/>
      <c r="F4514"/>
      <c r="G4514" t="s">
        <v>19</v>
      </c>
      <c r="H4514" t="s">
        <v>218</v>
      </c>
      <c r="I4514"/>
    </row>
    <row r="4515" spans="1:9">
      <c r="A4515" t="s">
        <v>4504</v>
      </c>
      <c r="B4515" s="1" t="str">
        <f>"12013806"</f>
        <v>12013806</v>
      </c>
      <c r="C4515" t="s">
        <v>4460</v>
      </c>
      <c r="D4515" t="s">
        <v>4522</v>
      </c>
      <c r="E4515" s="2"/>
      <c r="F4515"/>
      <c r="G4515" t="s">
        <v>287</v>
      </c>
      <c r="H4515" t="s">
        <v>218</v>
      </c>
      <c r="I4515"/>
    </row>
    <row r="4516" spans="1:9">
      <c r="A4516" t="s">
        <v>4504</v>
      </c>
      <c r="B4516" s="1" t="str">
        <f>"12017986"</f>
        <v>12017986</v>
      </c>
      <c r="C4516" t="s">
        <v>4460</v>
      </c>
      <c r="D4516" t="s">
        <v>4523</v>
      </c>
      <c r="E4516" s="2"/>
      <c r="F4516"/>
      <c r="G4516" t="s">
        <v>19</v>
      </c>
      <c r="H4516" t="s">
        <v>218</v>
      </c>
      <c r="I4516"/>
    </row>
    <row r="4517" spans="1:9">
      <c r="A4517" t="s">
        <v>4504</v>
      </c>
      <c r="B4517" s="1" t="str">
        <f>"12013812"</f>
        <v>12013812</v>
      </c>
      <c r="C4517" t="s">
        <v>4460</v>
      </c>
      <c r="D4517" t="s">
        <v>4524</v>
      </c>
      <c r="E4517" s="2"/>
      <c r="F4517"/>
      <c r="G4517" t="s">
        <v>19</v>
      </c>
      <c r="H4517" t="s">
        <v>218</v>
      </c>
      <c r="I4517"/>
    </row>
    <row r="4518" spans="1:9">
      <c r="A4518" t="s">
        <v>4504</v>
      </c>
      <c r="B4518" s="1" t="str">
        <f>"12017987"</f>
        <v>12017987</v>
      </c>
      <c r="C4518" t="s">
        <v>4460</v>
      </c>
      <c r="D4518" t="s">
        <v>4525</v>
      </c>
      <c r="E4518" s="2"/>
      <c r="F4518"/>
      <c r="G4518" t="s">
        <v>19</v>
      </c>
      <c r="H4518" t="s">
        <v>218</v>
      </c>
      <c r="I4518"/>
    </row>
    <row r="4519" spans="1:9">
      <c r="A4519" t="s">
        <v>4504</v>
      </c>
      <c r="B4519" s="1" t="str">
        <f>"12017984"</f>
        <v>12017984</v>
      </c>
      <c r="C4519" t="s">
        <v>4460</v>
      </c>
      <c r="D4519" t="s">
        <v>4526</v>
      </c>
      <c r="E4519" s="2"/>
      <c r="F4519"/>
      <c r="G4519" t="s">
        <v>19</v>
      </c>
      <c r="H4519" t="s">
        <v>218</v>
      </c>
      <c r="I4519"/>
    </row>
    <row r="4520" spans="1:9">
      <c r="A4520" t="s">
        <v>4509</v>
      </c>
      <c r="B4520" s="1" t="str">
        <f>"12061616"</f>
        <v>12061616</v>
      </c>
      <c r="C4520" t="s">
        <v>4460</v>
      </c>
      <c r="D4520" t="s">
        <v>4527</v>
      </c>
      <c r="E4520" s="2"/>
      <c r="F4520" t="s">
        <v>4528</v>
      </c>
      <c r="G4520" t="s">
        <v>82</v>
      </c>
      <c r="H4520" t="s">
        <v>218</v>
      </c>
      <c r="I4520"/>
    </row>
    <row r="4521" spans="1:9">
      <c r="A4521" t="s">
        <v>4504</v>
      </c>
      <c r="B4521" s="1" t="str">
        <f>"12065162"</f>
        <v>12065162</v>
      </c>
      <c r="C4521" t="s">
        <v>4460</v>
      </c>
      <c r="D4521" t="s">
        <v>4529</v>
      </c>
      <c r="E4521" s="2"/>
      <c r="F4521"/>
      <c r="G4521" t="s">
        <v>82</v>
      </c>
      <c r="H4521" t="s">
        <v>218</v>
      </c>
      <c r="I4521"/>
    </row>
    <row r="4522" spans="1:9">
      <c r="A4522" t="s">
        <v>4509</v>
      </c>
      <c r="B4522" s="1" t="str">
        <f>"12013791"</f>
        <v>12013791</v>
      </c>
      <c r="C4522" t="s">
        <v>4460</v>
      </c>
      <c r="D4522" t="s">
        <v>4530</v>
      </c>
      <c r="E4522" s="2"/>
      <c r="F4522"/>
      <c r="G4522" t="s">
        <v>287</v>
      </c>
      <c r="H4522" t="s">
        <v>218</v>
      </c>
      <c r="I4522"/>
    </row>
    <row r="4523" spans="1:9">
      <c r="A4523" t="s">
        <v>4504</v>
      </c>
      <c r="B4523" s="1" t="str">
        <f>"12061419"</f>
        <v>12061419</v>
      </c>
      <c r="C4523" t="s">
        <v>4460</v>
      </c>
      <c r="D4523" t="s">
        <v>4531</v>
      </c>
      <c r="E4523" s="2"/>
      <c r="F4523"/>
      <c r="G4523" t="s">
        <v>82</v>
      </c>
      <c r="H4523" t="s">
        <v>218</v>
      </c>
      <c r="I4523"/>
    </row>
    <row r="4524" spans="1:9">
      <c r="A4524" t="s">
        <v>4504</v>
      </c>
      <c r="B4524" s="1" t="str">
        <f>"12065164"</f>
        <v>12065164</v>
      </c>
      <c r="C4524" t="s">
        <v>4460</v>
      </c>
      <c r="D4524" t="s">
        <v>4532</v>
      </c>
      <c r="E4524" s="2"/>
      <c r="F4524"/>
      <c r="G4524" t="s">
        <v>82</v>
      </c>
      <c r="H4524" t="s">
        <v>218</v>
      </c>
      <c r="I4524"/>
    </row>
    <row r="4525" spans="1:9">
      <c r="A4525" t="s">
        <v>4504</v>
      </c>
      <c r="B4525" s="1" t="str">
        <f>"12135112"</f>
        <v>12135112</v>
      </c>
      <c r="C4525" t="s">
        <v>4460</v>
      </c>
      <c r="D4525" t="s">
        <v>4533</v>
      </c>
      <c r="E4525" s="2"/>
      <c r="F4525"/>
      <c r="G4525" t="s">
        <v>243</v>
      </c>
      <c r="H4525" t="s">
        <v>218</v>
      </c>
      <c r="I4525"/>
    </row>
    <row r="4526" spans="1:9">
      <c r="A4526" t="s">
        <v>4504</v>
      </c>
      <c r="B4526" s="1" t="str">
        <f>"12017398"</f>
        <v>12017398</v>
      </c>
      <c r="C4526" t="s">
        <v>4460</v>
      </c>
      <c r="D4526" t="s">
        <v>4534</v>
      </c>
      <c r="E4526" s="2"/>
      <c r="F4526"/>
      <c r="G4526" t="s">
        <v>795</v>
      </c>
      <c r="H4526" t="s">
        <v>218</v>
      </c>
      <c r="I4526"/>
    </row>
    <row r="4527" spans="1:9">
      <c r="A4527" t="s">
        <v>4535</v>
      </c>
      <c r="B4527" s="1" t="str">
        <f>"12024285"</f>
        <v>12024285</v>
      </c>
      <c r="C4527" t="s">
        <v>225</v>
      </c>
      <c r="D4527" t="s">
        <v>4536</v>
      </c>
      <c r="E4527" s="2"/>
      <c r="F4527"/>
      <c r="G4527" t="s">
        <v>80</v>
      </c>
      <c r="H4527" t="s">
        <v>80</v>
      </c>
      <c r="I4527"/>
    </row>
    <row r="4528" spans="1:9">
      <c r="A4528" t="s">
        <v>4535</v>
      </c>
      <c r="B4528" s="1" t="str">
        <f>"12142264"</f>
        <v>12142264</v>
      </c>
      <c r="C4528" t="s">
        <v>225</v>
      </c>
      <c r="D4528" t="s">
        <v>4537</v>
      </c>
      <c r="E4528" s="2"/>
      <c r="F4528"/>
      <c r="G4528" t="s">
        <v>80</v>
      </c>
      <c r="H4528" t="s">
        <v>80</v>
      </c>
      <c r="I4528"/>
    </row>
    <row r="4529" spans="1:9">
      <c r="A4529" t="s">
        <v>4535</v>
      </c>
      <c r="B4529" s="1" t="str">
        <f>"12521066"</f>
        <v>12521066</v>
      </c>
      <c r="C4529" t="s">
        <v>225</v>
      </c>
      <c r="D4529" t="s">
        <v>4538</v>
      </c>
      <c r="E4529" s="2"/>
      <c r="F4529"/>
      <c r="G4529" t="s">
        <v>80</v>
      </c>
      <c r="H4529" t="s">
        <v>80</v>
      </c>
      <c r="I4529"/>
    </row>
    <row r="4530" spans="1:9">
      <c r="A4530" t="s">
        <v>4535</v>
      </c>
      <c r="B4530" s="1" t="str">
        <f>"12012421"</f>
        <v>12012421</v>
      </c>
      <c r="C4530" t="s">
        <v>225</v>
      </c>
      <c r="D4530" t="s">
        <v>4539</v>
      </c>
      <c r="E4530" s="2"/>
      <c r="F4530"/>
      <c r="G4530" t="s">
        <v>80</v>
      </c>
      <c r="H4530" t="s">
        <v>80</v>
      </c>
      <c r="I4530"/>
    </row>
    <row r="4531" spans="1:9">
      <c r="A4531" t="s">
        <v>4535</v>
      </c>
      <c r="B4531" s="1" t="str">
        <f>"12521349"</f>
        <v>12521349</v>
      </c>
      <c r="C4531" t="s">
        <v>225</v>
      </c>
      <c r="D4531" t="s">
        <v>4540</v>
      </c>
      <c r="E4531" s="2"/>
      <c r="F4531"/>
      <c r="G4531" t="s">
        <v>80</v>
      </c>
      <c r="H4531" t="s">
        <v>80</v>
      </c>
      <c r="I4531"/>
    </row>
    <row r="4532" spans="1:9">
      <c r="A4532" t="s">
        <v>4535</v>
      </c>
      <c r="B4532" s="1" t="str">
        <f>"20172530"</f>
        <v>20172530</v>
      </c>
      <c r="C4532" t="s">
        <v>4460</v>
      </c>
      <c r="D4532" t="s">
        <v>4541</v>
      </c>
      <c r="E4532" s="2"/>
      <c r="F4532"/>
      <c r="G4532" t="s">
        <v>299</v>
      </c>
      <c r="H4532" t="s">
        <v>218</v>
      </c>
      <c r="I4532"/>
    </row>
    <row r="4533" spans="1:9">
      <c r="A4533" t="s">
        <v>4535</v>
      </c>
      <c r="B4533" s="1" t="str">
        <f>"12016312"</f>
        <v>12016312</v>
      </c>
      <c r="C4533" t="s">
        <v>4460</v>
      </c>
      <c r="D4533" t="s">
        <v>4542</v>
      </c>
      <c r="E4533" s="2"/>
      <c r="F4533"/>
      <c r="G4533" t="s">
        <v>75</v>
      </c>
      <c r="H4533" t="s">
        <v>218</v>
      </c>
      <c r="I4533"/>
    </row>
    <row r="4534" spans="1:9">
      <c r="A4534" t="s">
        <v>4535</v>
      </c>
      <c r="B4534" s="1" t="str">
        <f>"12016313"</f>
        <v>12016313</v>
      </c>
      <c r="C4534" t="s">
        <v>4460</v>
      </c>
      <c r="D4534" t="s">
        <v>4543</v>
      </c>
      <c r="E4534" s="2"/>
      <c r="F4534"/>
      <c r="G4534" t="s">
        <v>75</v>
      </c>
      <c r="H4534" t="s">
        <v>218</v>
      </c>
      <c r="I4534"/>
    </row>
    <row r="4535" spans="1:9">
      <c r="A4535" t="s">
        <v>4544</v>
      </c>
      <c r="B4535" s="1" t="str">
        <f>"20894214"</f>
        <v>20894214</v>
      </c>
      <c r="C4535" t="s">
        <v>4545</v>
      </c>
      <c r="D4535" t="s">
        <v>4546</v>
      </c>
      <c r="E4535" s="2"/>
      <c r="F4535"/>
      <c r="G4535" t="s">
        <v>80</v>
      </c>
      <c r="H4535" t="s">
        <v>80</v>
      </c>
      <c r="I4535"/>
    </row>
    <row r="4536" spans="1:9">
      <c r="A4536" t="s">
        <v>4544</v>
      </c>
      <c r="B4536" s="1" t="str">
        <f>"20894214.2"</f>
        <v>20894214.2</v>
      </c>
      <c r="C4536" t="s">
        <v>4545</v>
      </c>
      <c r="D4536" t="s">
        <v>4546</v>
      </c>
      <c r="E4536" s="2"/>
      <c r="F4536"/>
      <c r="G4536" t="s">
        <v>80</v>
      </c>
      <c r="H4536" t="s">
        <v>218</v>
      </c>
      <c r="I4536"/>
    </row>
    <row r="4537" spans="1:9">
      <c r="A4537" t="s">
        <v>4544</v>
      </c>
      <c r="B4537" s="1" t="str">
        <f>"20540517"</f>
        <v>20540517</v>
      </c>
      <c r="C4537" t="s">
        <v>4545</v>
      </c>
      <c r="D4537" t="s">
        <v>4547</v>
      </c>
      <c r="E4537" s="2"/>
      <c r="F4537"/>
      <c r="G4537" t="s">
        <v>80</v>
      </c>
      <c r="H4537" t="s">
        <v>80</v>
      </c>
      <c r="I4537"/>
    </row>
    <row r="4538" spans="1:9">
      <c r="A4538" t="s">
        <v>4544</v>
      </c>
      <c r="B4538" s="1" t="str">
        <f>"20540517.2"</f>
        <v>20540517.2</v>
      </c>
      <c r="C4538" t="s">
        <v>4545</v>
      </c>
      <c r="D4538" t="s">
        <v>4547</v>
      </c>
      <c r="E4538" s="2"/>
      <c r="F4538"/>
      <c r="G4538" t="s">
        <v>80</v>
      </c>
      <c r="H4538" t="s">
        <v>218</v>
      </c>
      <c r="I4538"/>
    </row>
    <row r="4539" spans="1:9">
      <c r="A4539" t="s">
        <v>4544</v>
      </c>
      <c r="B4539" s="1" t="str">
        <f>"20175703"</f>
        <v>20175703</v>
      </c>
      <c r="C4539" t="s">
        <v>2481</v>
      </c>
      <c r="D4539" t="s">
        <v>4548</v>
      </c>
      <c r="E4539" s="2"/>
      <c r="F4539"/>
      <c r="G4539" t="s">
        <v>82</v>
      </c>
      <c r="H4539" t="s">
        <v>82</v>
      </c>
      <c r="I4539"/>
    </row>
    <row r="4540" spans="1:9">
      <c r="A4540" t="s">
        <v>4544</v>
      </c>
      <c r="B4540" s="1" t="str">
        <f>"20189242"</f>
        <v>20189242</v>
      </c>
      <c r="C4540" t="s">
        <v>225</v>
      </c>
      <c r="D4540" t="s">
        <v>4549</v>
      </c>
      <c r="E4540" s="2"/>
      <c r="F4540"/>
      <c r="G4540" t="s">
        <v>80</v>
      </c>
      <c r="H4540" t="s">
        <v>80</v>
      </c>
      <c r="I4540"/>
    </row>
    <row r="4541" spans="1:9">
      <c r="A4541" t="s">
        <v>4544</v>
      </c>
      <c r="B4541" s="1" t="str">
        <f>"20175580"</f>
        <v>20175580</v>
      </c>
      <c r="C4541" t="s">
        <v>225</v>
      </c>
      <c r="D4541" t="s">
        <v>4550</v>
      </c>
      <c r="E4541" s="2"/>
      <c r="F4541"/>
      <c r="G4541" t="s">
        <v>58</v>
      </c>
      <c r="H4541" t="s">
        <v>58</v>
      </c>
      <c r="I4541"/>
    </row>
    <row r="4542" spans="1:9">
      <c r="A4542" t="s">
        <v>4544</v>
      </c>
      <c r="B4542" s="1" t="str">
        <f>"20175581"</f>
        <v>20175581</v>
      </c>
      <c r="C4542" t="s">
        <v>225</v>
      </c>
      <c r="D4542" t="s">
        <v>4551</v>
      </c>
      <c r="E4542" s="2"/>
      <c r="F4542"/>
      <c r="G4542" t="s">
        <v>148</v>
      </c>
      <c r="H4542" t="s">
        <v>148</v>
      </c>
      <c r="I4542"/>
    </row>
    <row r="4543" spans="1:9">
      <c r="A4543" t="s">
        <v>4544</v>
      </c>
      <c r="B4543" s="1" t="str">
        <f>"20111588"</f>
        <v>20111588</v>
      </c>
      <c r="C4543" t="s">
        <v>225</v>
      </c>
      <c r="D4543" t="s">
        <v>4552</v>
      </c>
      <c r="E4543" s="2"/>
      <c r="F4543"/>
      <c r="G4543" t="s">
        <v>148</v>
      </c>
      <c r="H4543" t="s">
        <v>148</v>
      </c>
      <c r="I4543"/>
    </row>
    <row r="4544" spans="1:9">
      <c r="A4544" t="s">
        <v>4544</v>
      </c>
      <c r="B4544" s="1" t="str">
        <f>"22645966"</f>
        <v>22645966</v>
      </c>
      <c r="C4544" t="s">
        <v>4553</v>
      </c>
      <c r="D4544" t="s">
        <v>4554</v>
      </c>
      <c r="E4544" s="2"/>
      <c r="F4544"/>
      <c r="G4544" t="s">
        <v>148</v>
      </c>
      <c r="H4544" t="s">
        <v>148</v>
      </c>
      <c r="I4544"/>
    </row>
    <row r="4545" spans="1:9">
      <c r="A4545" t="s">
        <v>4544</v>
      </c>
      <c r="B4545" s="1" t="str">
        <f>"23027370"</f>
        <v>23027370</v>
      </c>
      <c r="C4545" t="s">
        <v>4553</v>
      </c>
      <c r="D4545" t="s">
        <v>4555</v>
      </c>
      <c r="E4545" s="2"/>
      <c r="F4545"/>
      <c r="G4545" t="s">
        <v>80</v>
      </c>
      <c r="H4545" t="s">
        <v>80</v>
      </c>
      <c r="I4545"/>
    </row>
    <row r="4546" spans="1:9">
      <c r="A4546" t="s">
        <v>4544</v>
      </c>
      <c r="B4546" s="1" t="str">
        <f>"23027370.2"</f>
        <v>23027370.2</v>
      </c>
      <c r="C4546" t="s">
        <v>4553</v>
      </c>
      <c r="D4546" t="s">
        <v>4555</v>
      </c>
      <c r="E4546" s="2"/>
      <c r="F4546"/>
      <c r="G4546" t="s">
        <v>80</v>
      </c>
      <c r="H4546" t="s">
        <v>218</v>
      </c>
      <c r="I4546"/>
    </row>
    <row r="4547" spans="1:9">
      <c r="A4547" t="s">
        <v>4544</v>
      </c>
      <c r="B4547" s="1" t="str">
        <f>"20078492"</f>
        <v>20078492</v>
      </c>
      <c r="C4547" t="s">
        <v>4556</v>
      </c>
      <c r="D4547" t="s">
        <v>4557</v>
      </c>
      <c r="E4547" s="2"/>
      <c r="F4547"/>
      <c r="G4547" t="s">
        <v>58</v>
      </c>
      <c r="H4547" t="s">
        <v>58</v>
      </c>
      <c r="I4547"/>
    </row>
    <row r="4548" spans="1:9">
      <c r="A4548" t="s">
        <v>4544</v>
      </c>
      <c r="B4548" s="1" t="str">
        <f>"20093051"</f>
        <v>20093051</v>
      </c>
      <c r="C4548" t="s">
        <v>4558</v>
      </c>
      <c r="D4548" t="s">
        <v>4559</v>
      </c>
      <c r="E4548" s="2"/>
      <c r="F4548"/>
      <c r="G4548" t="s">
        <v>175</v>
      </c>
      <c r="H4548" t="s">
        <v>175</v>
      </c>
      <c r="I4548"/>
    </row>
    <row r="4549" spans="1:9">
      <c r="A4549" t="s">
        <v>4560</v>
      </c>
      <c r="B4549" s="1" t="str">
        <f>"20335057"</f>
        <v>20335057</v>
      </c>
      <c r="C4549" t="s">
        <v>4561</v>
      </c>
      <c r="D4549" t="s">
        <v>4562</v>
      </c>
      <c r="E4549" s="2"/>
      <c r="F4549"/>
      <c r="G4549" t="s">
        <v>4000</v>
      </c>
      <c r="H4549" t="s">
        <v>4000</v>
      </c>
      <c r="I4549"/>
    </row>
    <row r="4550" spans="1:9">
      <c r="A4550" t="s">
        <v>4560</v>
      </c>
      <c r="B4550" s="1" t="str">
        <f>"20097509"</f>
        <v>20097509</v>
      </c>
      <c r="C4550" t="s">
        <v>4561</v>
      </c>
      <c r="D4550" t="s">
        <v>4563</v>
      </c>
      <c r="E4550" s="2"/>
      <c r="F4550"/>
      <c r="G4550" t="s">
        <v>4000</v>
      </c>
      <c r="H4550" t="s">
        <v>4000</v>
      </c>
      <c r="I4550"/>
    </row>
    <row r="4551" spans="1:9">
      <c r="A4551" t="s">
        <v>4560</v>
      </c>
      <c r="B4551" s="1" t="str">
        <f>"20097509.2"</f>
        <v>20097509.2</v>
      </c>
      <c r="C4551" t="s">
        <v>4561</v>
      </c>
      <c r="D4551" t="s">
        <v>4563</v>
      </c>
      <c r="E4551" s="2"/>
      <c r="F4551"/>
      <c r="G4551" t="s">
        <v>4000</v>
      </c>
      <c r="H4551" t="s">
        <v>2539</v>
      </c>
      <c r="I4551"/>
    </row>
    <row r="4552" spans="1:9">
      <c r="A4552" t="s">
        <v>4560</v>
      </c>
      <c r="B4552" s="1" t="str">
        <f>"20459940"</f>
        <v>20459940</v>
      </c>
      <c r="C4552" t="s">
        <v>4561</v>
      </c>
      <c r="D4552" t="s">
        <v>4564</v>
      </c>
      <c r="E4552" s="2"/>
      <c r="F4552"/>
      <c r="G4552" t="s">
        <v>4000</v>
      </c>
      <c r="H4552" t="s">
        <v>4000</v>
      </c>
      <c r="I4552"/>
    </row>
    <row r="4553" spans="1:9">
      <c r="A4553" t="s">
        <v>4565</v>
      </c>
      <c r="B4553" s="1" t="str">
        <f>"20172541"</f>
        <v>20172541</v>
      </c>
      <c r="C4553" t="s">
        <v>4566</v>
      </c>
      <c r="D4553" t="s">
        <v>4567</v>
      </c>
      <c r="E4553" s="2"/>
      <c r="F4553"/>
      <c r="G4553" t="s">
        <v>177</v>
      </c>
      <c r="H4553" t="s">
        <v>177</v>
      </c>
      <c r="I4553"/>
    </row>
    <row r="4554" spans="1:9">
      <c r="A4554" t="s">
        <v>4565</v>
      </c>
      <c r="B4554" s="1" t="str">
        <f>"20172540"</f>
        <v>20172540</v>
      </c>
      <c r="C4554" t="s">
        <v>4566</v>
      </c>
      <c r="D4554" t="s">
        <v>4568</v>
      </c>
      <c r="E4554" s="2"/>
      <c r="F4554"/>
      <c r="G4554" t="s">
        <v>82</v>
      </c>
      <c r="H4554" t="s">
        <v>82</v>
      </c>
      <c r="I4554"/>
    </row>
    <row r="4555" spans="1:9">
      <c r="A4555" t="s">
        <v>4565</v>
      </c>
      <c r="B4555" s="1" t="str">
        <f>"20172542"</f>
        <v>20172542</v>
      </c>
      <c r="C4555" t="s">
        <v>4566</v>
      </c>
      <c r="D4555" t="s">
        <v>4569</v>
      </c>
      <c r="E4555" s="2"/>
      <c r="F4555"/>
      <c r="G4555" t="s">
        <v>82</v>
      </c>
      <c r="H4555" t="s">
        <v>82</v>
      </c>
      <c r="I4555"/>
    </row>
    <row r="4556" spans="1:9">
      <c r="A4556" t="s">
        <v>4565</v>
      </c>
      <c r="B4556" s="1" t="str">
        <f>"20172544"</f>
        <v>20172544</v>
      </c>
      <c r="C4556" t="s">
        <v>4566</v>
      </c>
      <c r="D4556" t="s">
        <v>4570</v>
      </c>
      <c r="E4556" s="2"/>
      <c r="F4556"/>
      <c r="G4556" t="s">
        <v>177</v>
      </c>
      <c r="H4556" t="s">
        <v>177</v>
      </c>
      <c r="I4556"/>
    </row>
    <row r="4557" spans="1:9">
      <c r="A4557" t="s">
        <v>4565</v>
      </c>
      <c r="B4557" s="1" t="str">
        <f>"20172543"</f>
        <v>20172543</v>
      </c>
      <c r="C4557" t="s">
        <v>4566</v>
      </c>
      <c r="D4557" t="s">
        <v>4571</v>
      </c>
      <c r="E4557" s="2"/>
      <c r="F4557"/>
      <c r="G4557" t="s">
        <v>82</v>
      </c>
      <c r="H4557" t="s">
        <v>82</v>
      </c>
      <c r="I4557"/>
    </row>
    <row r="4558" spans="1:9">
      <c r="A4558" t="s">
        <v>4565</v>
      </c>
      <c r="B4558" s="1" t="str">
        <f>"20172545"</f>
        <v>20172545</v>
      </c>
      <c r="C4558" t="s">
        <v>4566</v>
      </c>
      <c r="D4558" t="s">
        <v>4572</v>
      </c>
      <c r="E4558" s="2"/>
      <c r="F4558"/>
      <c r="G4558" t="s">
        <v>82</v>
      </c>
      <c r="H4558" t="s">
        <v>82</v>
      </c>
      <c r="I4558"/>
    </row>
    <row r="4559" spans="1:9">
      <c r="A4559" t="s">
        <v>4573</v>
      </c>
      <c r="B4559" s="1" t="str">
        <f>"12302034"</f>
        <v>12302034</v>
      </c>
      <c r="C4559" t="s">
        <v>260</v>
      </c>
      <c r="D4559" t="s">
        <v>4574</v>
      </c>
      <c r="E4559" s="2"/>
      <c r="F4559"/>
      <c r="G4559" t="s">
        <v>2539</v>
      </c>
      <c r="H4559" t="s">
        <v>2539</v>
      </c>
      <c r="I4559"/>
    </row>
    <row r="4560" spans="1:9">
      <c r="A4560" t="s">
        <v>4573</v>
      </c>
      <c r="B4560" s="1" t="str">
        <f>"20106638"</f>
        <v>20106638</v>
      </c>
      <c r="C4560" t="s">
        <v>4575</v>
      </c>
      <c r="D4560" t="s">
        <v>4576</v>
      </c>
      <c r="E4560" s="2"/>
      <c r="F4560"/>
      <c r="G4560" t="s">
        <v>82</v>
      </c>
      <c r="H4560" t="s">
        <v>82</v>
      </c>
      <c r="I4560"/>
    </row>
    <row r="4561" spans="1:9">
      <c r="A4561" t="s">
        <v>4573</v>
      </c>
      <c r="B4561" s="1" t="str">
        <f>"20106638.2"</f>
        <v>20106638.2</v>
      </c>
      <c r="C4561" t="s">
        <v>4575</v>
      </c>
      <c r="D4561" t="s">
        <v>4576</v>
      </c>
      <c r="E4561" s="2"/>
      <c r="F4561"/>
      <c r="G4561" t="s">
        <v>82</v>
      </c>
      <c r="H4561" t="s">
        <v>218</v>
      </c>
      <c r="I4561"/>
    </row>
    <row r="4562" spans="1:9">
      <c r="A4562" t="s">
        <v>4573</v>
      </c>
      <c r="B4562" s="1" t="str">
        <f>"20190031"</f>
        <v>20190031</v>
      </c>
      <c r="C4562" t="s">
        <v>4577</v>
      </c>
      <c r="D4562" t="s">
        <v>4578</v>
      </c>
      <c r="E4562" s="2"/>
      <c r="F4562"/>
      <c r="G4562" t="s">
        <v>82</v>
      </c>
      <c r="H4562" t="s">
        <v>82</v>
      </c>
      <c r="I4562"/>
    </row>
    <row r="4563" spans="1:9">
      <c r="A4563" t="s">
        <v>4573</v>
      </c>
      <c r="B4563" s="1" t="str">
        <f>"20190031.2"</f>
        <v>20190031.2</v>
      </c>
      <c r="C4563" t="s">
        <v>4577</v>
      </c>
      <c r="D4563" t="s">
        <v>4578</v>
      </c>
      <c r="E4563" s="2"/>
      <c r="F4563"/>
      <c r="G4563" t="s">
        <v>82</v>
      </c>
      <c r="H4563" t="s">
        <v>218</v>
      </c>
      <c r="I4563"/>
    </row>
    <row r="4564" spans="1:9">
      <c r="A4564" t="s">
        <v>4579</v>
      </c>
      <c r="B4564" s="1" t="str">
        <f>"20829941"</f>
        <v>20829941</v>
      </c>
      <c r="C4564" t="s">
        <v>4580</v>
      </c>
      <c r="D4564" t="s">
        <v>4581</v>
      </c>
      <c r="E4564" s="2"/>
      <c r="F4564" t="s">
        <v>12</v>
      </c>
      <c r="G4564" t="s">
        <v>29</v>
      </c>
      <c r="H4564" t="s">
        <v>29</v>
      </c>
      <c r="I4564"/>
    </row>
    <row r="4565" spans="1:9">
      <c r="A4565" t="s">
        <v>4579</v>
      </c>
      <c r="B4565" s="1" t="str">
        <f>"20829941.2"</f>
        <v>20829941.2</v>
      </c>
      <c r="C4565" t="s">
        <v>4580</v>
      </c>
      <c r="D4565" t="s">
        <v>4581</v>
      </c>
      <c r="E4565" s="2"/>
      <c r="F4565" t="s">
        <v>12</v>
      </c>
      <c r="G4565" t="s">
        <v>29</v>
      </c>
      <c r="H4565" t="s">
        <v>332</v>
      </c>
      <c r="I4565"/>
    </row>
    <row r="4566" spans="1:9">
      <c r="A4566" t="s">
        <v>4579</v>
      </c>
      <c r="B4566" s="1" t="str">
        <f>"20857301"</f>
        <v>20857301</v>
      </c>
      <c r="C4566" t="s">
        <v>4580</v>
      </c>
      <c r="D4566" t="s">
        <v>4582</v>
      </c>
      <c r="E4566" s="2"/>
      <c r="F4566" t="s">
        <v>12</v>
      </c>
      <c r="G4566" t="s">
        <v>29</v>
      </c>
      <c r="H4566" t="s">
        <v>29</v>
      </c>
      <c r="I4566"/>
    </row>
    <row r="4567" spans="1:9">
      <c r="A4567" t="s">
        <v>4579</v>
      </c>
      <c r="B4567" s="1" t="str">
        <f>"20857301.2"</f>
        <v>20857301.2</v>
      </c>
      <c r="C4567" t="s">
        <v>4580</v>
      </c>
      <c r="D4567" t="s">
        <v>4582</v>
      </c>
      <c r="E4567" s="2"/>
      <c r="F4567" t="s">
        <v>12</v>
      </c>
      <c r="G4567" t="s">
        <v>29</v>
      </c>
      <c r="H4567" t="s">
        <v>332</v>
      </c>
      <c r="I4567"/>
    </row>
    <row r="4568" spans="1:9">
      <c r="A4568" t="s">
        <v>4579</v>
      </c>
      <c r="B4568" s="1" t="str">
        <f>"20829940"</f>
        <v>20829940</v>
      </c>
      <c r="C4568" t="s">
        <v>4580</v>
      </c>
      <c r="D4568" t="s">
        <v>4583</v>
      </c>
      <c r="E4568" s="2"/>
      <c r="F4568" t="s">
        <v>12</v>
      </c>
      <c r="G4568" t="s">
        <v>29</v>
      </c>
      <c r="H4568" t="s">
        <v>29</v>
      </c>
      <c r="I4568"/>
    </row>
    <row r="4569" spans="1:9">
      <c r="A4569" t="s">
        <v>4579</v>
      </c>
      <c r="B4569" s="1" t="str">
        <f>"20829940.2"</f>
        <v>20829940.2</v>
      </c>
      <c r="C4569" t="s">
        <v>4580</v>
      </c>
      <c r="D4569" t="s">
        <v>4583</v>
      </c>
      <c r="E4569" s="2"/>
      <c r="F4569" t="s">
        <v>12</v>
      </c>
      <c r="G4569" t="s">
        <v>29</v>
      </c>
      <c r="H4569" t="s">
        <v>332</v>
      </c>
      <c r="I4569"/>
    </row>
    <row r="4570" spans="1:9">
      <c r="A4570" t="s">
        <v>4579</v>
      </c>
      <c r="B4570" s="1" t="str">
        <f>"20034658"</f>
        <v>20034658</v>
      </c>
      <c r="C4570" t="s">
        <v>4584</v>
      </c>
      <c r="D4570" t="s">
        <v>4583</v>
      </c>
      <c r="E4570" s="2"/>
      <c r="F4570" t="s">
        <v>336</v>
      </c>
      <c r="G4570" t="s">
        <v>370</v>
      </c>
      <c r="H4570" t="s">
        <v>370</v>
      </c>
      <c r="I4570"/>
    </row>
    <row r="4571" spans="1:9">
      <c r="A4571" t="s">
        <v>4579</v>
      </c>
      <c r="B4571" s="1" t="str">
        <f>"20034658.2"</f>
        <v>20034658.2</v>
      </c>
      <c r="C4571" t="s">
        <v>4584</v>
      </c>
      <c r="D4571" t="s">
        <v>4583</v>
      </c>
      <c r="E4571" s="2"/>
      <c r="F4571" t="s">
        <v>336</v>
      </c>
      <c r="G4571" t="s">
        <v>370</v>
      </c>
      <c r="H4571" t="s">
        <v>332</v>
      </c>
      <c r="I4571"/>
    </row>
    <row r="4572" spans="1:9">
      <c r="A4572" t="s">
        <v>4579</v>
      </c>
      <c r="B4572" s="1" t="str">
        <f>"12036120"</f>
        <v>12036120</v>
      </c>
      <c r="C4572" t="s">
        <v>4585</v>
      </c>
      <c r="D4572" t="s">
        <v>4586</v>
      </c>
      <c r="E4572" s="2"/>
      <c r="F4572" t="s">
        <v>12</v>
      </c>
      <c r="G4572" t="s">
        <v>2948</v>
      </c>
      <c r="H4572" t="s">
        <v>332</v>
      </c>
      <c r="I4572"/>
    </row>
    <row r="4573" spans="1:9">
      <c r="A4573" t="s">
        <v>4579</v>
      </c>
      <c r="B4573" s="1" t="str">
        <f>"20093167"</f>
        <v>20093167</v>
      </c>
      <c r="C4573" t="s">
        <v>4587</v>
      </c>
      <c r="D4573" t="s">
        <v>4588</v>
      </c>
      <c r="E4573" s="2"/>
      <c r="F4573" t="s">
        <v>12</v>
      </c>
      <c r="G4573" t="s">
        <v>337</v>
      </c>
      <c r="H4573" t="s">
        <v>337</v>
      </c>
      <c r="I4573"/>
    </row>
    <row r="4574" spans="1:9">
      <c r="A4574" t="s">
        <v>4579</v>
      </c>
      <c r="B4574" s="1" t="str">
        <f>"20093167.2"</f>
        <v>20093167.2</v>
      </c>
      <c r="C4574" t="s">
        <v>4587</v>
      </c>
      <c r="D4574" t="s">
        <v>4588</v>
      </c>
      <c r="E4574" s="2"/>
      <c r="F4574" t="s">
        <v>12</v>
      </c>
      <c r="G4574" t="s">
        <v>337</v>
      </c>
      <c r="H4574" t="s">
        <v>332</v>
      </c>
      <c r="I4574"/>
    </row>
    <row r="4575" spans="1:9">
      <c r="A4575" t="s">
        <v>4579</v>
      </c>
      <c r="B4575" s="1" t="str">
        <f>"20034603"</f>
        <v>20034603</v>
      </c>
      <c r="C4575" t="s">
        <v>4587</v>
      </c>
      <c r="D4575" t="s">
        <v>4589</v>
      </c>
      <c r="E4575" s="2"/>
      <c r="F4575" t="s">
        <v>336</v>
      </c>
      <c r="G4575" t="s">
        <v>370</v>
      </c>
      <c r="H4575" t="s">
        <v>370</v>
      </c>
      <c r="I4575"/>
    </row>
    <row r="4576" spans="1:9">
      <c r="A4576" t="s">
        <v>4579</v>
      </c>
      <c r="B4576" s="1" t="str">
        <f>"20066193"</f>
        <v>20066193</v>
      </c>
      <c r="C4576" t="s">
        <v>4587</v>
      </c>
      <c r="D4576" t="s">
        <v>4590</v>
      </c>
      <c r="E4576" s="2"/>
      <c r="F4576" t="s">
        <v>66</v>
      </c>
      <c r="G4576" t="s">
        <v>370</v>
      </c>
      <c r="H4576" t="s">
        <v>370</v>
      </c>
      <c r="I4576"/>
    </row>
    <row r="4577" spans="1:9">
      <c r="A4577" t="s">
        <v>4579</v>
      </c>
      <c r="B4577" s="1" t="str">
        <f>"20034659"</f>
        <v>20034659</v>
      </c>
      <c r="C4577" t="s">
        <v>225</v>
      </c>
      <c r="D4577" t="s">
        <v>4591</v>
      </c>
      <c r="E4577" s="2"/>
      <c r="F4577" t="s">
        <v>12</v>
      </c>
      <c r="G4577" t="s">
        <v>29</v>
      </c>
      <c r="H4577" t="s">
        <v>25</v>
      </c>
      <c r="I4577"/>
    </row>
    <row r="4578" spans="1:9">
      <c r="A4578" t="s">
        <v>4579</v>
      </c>
      <c r="B4578" s="1" t="str">
        <f>"20299033"</f>
        <v>20299033</v>
      </c>
      <c r="C4578" t="s">
        <v>225</v>
      </c>
      <c r="D4578" t="s">
        <v>4592</v>
      </c>
      <c r="E4578" s="2"/>
      <c r="F4578" t="s">
        <v>336</v>
      </c>
      <c r="G4578" t="s">
        <v>25</v>
      </c>
      <c r="H4578" t="s">
        <v>25</v>
      </c>
      <c r="I4578"/>
    </row>
    <row r="4579" spans="1:9">
      <c r="A4579" t="s">
        <v>4579</v>
      </c>
      <c r="B4579" s="1" t="str">
        <f>"20235130"</f>
        <v>20235130</v>
      </c>
      <c r="C4579" t="s">
        <v>225</v>
      </c>
      <c r="D4579" t="s">
        <v>4593</v>
      </c>
      <c r="E4579" s="2"/>
      <c r="F4579" t="s">
        <v>336</v>
      </c>
      <c r="G4579" t="s">
        <v>25</v>
      </c>
      <c r="H4579" t="s">
        <v>25</v>
      </c>
      <c r="I4579"/>
    </row>
    <row r="4580" spans="1:9">
      <c r="A4580" t="s">
        <v>4579</v>
      </c>
      <c r="B4580" s="1" t="str">
        <f>"20556440"</f>
        <v>20556440</v>
      </c>
      <c r="C4580" t="s">
        <v>4594</v>
      </c>
      <c r="D4580" t="s">
        <v>4595</v>
      </c>
      <c r="E4580" s="2"/>
      <c r="F4580" t="s">
        <v>336</v>
      </c>
      <c r="G4580" t="s">
        <v>370</v>
      </c>
      <c r="H4580" t="s">
        <v>370</v>
      </c>
      <c r="I4580"/>
    </row>
    <row r="4581" spans="1:9">
      <c r="A4581" t="s">
        <v>4579</v>
      </c>
      <c r="B4581" s="1" t="str">
        <f>"20556440.2"</f>
        <v>20556440.2</v>
      </c>
      <c r="C4581" t="s">
        <v>4594</v>
      </c>
      <c r="D4581" t="s">
        <v>4595</v>
      </c>
      <c r="E4581" s="2"/>
      <c r="F4581" t="s">
        <v>336</v>
      </c>
      <c r="G4581" t="s">
        <v>370</v>
      </c>
      <c r="H4581" t="s">
        <v>332</v>
      </c>
      <c r="I4581"/>
    </row>
    <row r="4582" spans="1:9">
      <c r="A4582" t="s">
        <v>4579</v>
      </c>
      <c r="B4582" s="1" t="str">
        <f>"20857721"</f>
        <v>20857721</v>
      </c>
      <c r="C4582" t="s">
        <v>4596</v>
      </c>
      <c r="D4582" t="s">
        <v>4591</v>
      </c>
      <c r="E4582" s="2"/>
      <c r="F4582" t="s">
        <v>12</v>
      </c>
      <c r="G4582" t="s">
        <v>25</v>
      </c>
      <c r="H4582" t="s">
        <v>25</v>
      </c>
      <c r="I4582"/>
    </row>
    <row r="4583" spans="1:9">
      <c r="A4583" t="s">
        <v>4579</v>
      </c>
      <c r="B4583" s="1" t="str">
        <f>"20633554"</f>
        <v>20633554</v>
      </c>
      <c r="C4583" t="s">
        <v>4318</v>
      </c>
      <c r="D4583" t="s">
        <v>4597</v>
      </c>
      <c r="E4583" s="2"/>
      <c r="F4583" t="s">
        <v>3630</v>
      </c>
      <c r="G4583" t="s">
        <v>4258</v>
      </c>
      <c r="H4583" t="s">
        <v>4258</v>
      </c>
      <c r="I4583"/>
    </row>
    <row r="4584" spans="1:9">
      <c r="A4584" t="s">
        <v>4579</v>
      </c>
      <c r="B4584" s="1" t="str">
        <f>"20633554.2"</f>
        <v>20633554.2</v>
      </c>
      <c r="C4584" t="s">
        <v>4318</v>
      </c>
      <c r="D4584" t="s">
        <v>4597</v>
      </c>
      <c r="E4584" s="2"/>
      <c r="F4584" t="s">
        <v>3630</v>
      </c>
      <c r="G4584" t="s">
        <v>4258</v>
      </c>
      <c r="H4584" t="s">
        <v>332</v>
      </c>
      <c r="I4584"/>
    </row>
    <row r="4585" spans="1:9">
      <c r="A4585" t="s">
        <v>4579</v>
      </c>
      <c r="B4585" s="1" t="str">
        <f>"20082826"</f>
        <v>20082826</v>
      </c>
      <c r="C4585" t="s">
        <v>4598</v>
      </c>
      <c r="D4585" t="s">
        <v>4599</v>
      </c>
      <c r="E4585" s="2"/>
      <c r="F4585" t="s">
        <v>66</v>
      </c>
      <c r="G4585" t="s">
        <v>337</v>
      </c>
      <c r="H4585" t="s">
        <v>337</v>
      </c>
      <c r="I4585"/>
    </row>
    <row r="4586" spans="1:9">
      <c r="A4586" t="s">
        <v>4579</v>
      </c>
      <c r="B4586" s="1" t="str">
        <f>"20082826.2"</f>
        <v>20082826.2</v>
      </c>
      <c r="C4586" t="s">
        <v>4598</v>
      </c>
      <c r="D4586" t="s">
        <v>4599</v>
      </c>
      <c r="E4586" s="2"/>
      <c r="F4586" t="s">
        <v>66</v>
      </c>
      <c r="G4586" t="s">
        <v>337</v>
      </c>
      <c r="H4586" t="s">
        <v>332</v>
      </c>
      <c r="I4586"/>
    </row>
    <row r="4587" spans="1:9">
      <c r="A4587" t="s">
        <v>4579</v>
      </c>
      <c r="B4587" s="1" t="str">
        <f>"12074815"</f>
        <v>12074815</v>
      </c>
      <c r="C4587" t="s">
        <v>4600</v>
      </c>
      <c r="D4587" t="s">
        <v>4601</v>
      </c>
      <c r="E4587" s="2"/>
      <c r="F4587" t="s">
        <v>66</v>
      </c>
      <c r="G4587" t="s">
        <v>332</v>
      </c>
      <c r="H4587" t="s">
        <v>332</v>
      </c>
      <c r="I4587"/>
    </row>
    <row r="4588" spans="1:9">
      <c r="A4588" t="s">
        <v>4602</v>
      </c>
      <c r="B4588" s="1" t="str">
        <f>"20018507"</f>
        <v>20018507</v>
      </c>
      <c r="C4588" t="s">
        <v>4603</v>
      </c>
      <c r="D4588" t="s">
        <v>4604</v>
      </c>
      <c r="E4588" s="2"/>
      <c r="F4588" t="s">
        <v>12</v>
      </c>
      <c r="G4588" t="s">
        <v>4258</v>
      </c>
      <c r="H4588" t="s">
        <v>4258</v>
      </c>
      <c r="I4588"/>
    </row>
    <row r="4589" spans="1:9">
      <c r="A4589" t="s">
        <v>4602</v>
      </c>
      <c r="B4589" s="1" t="str">
        <f>"20018507.2"</f>
        <v>20018507.2</v>
      </c>
      <c r="C4589" t="s">
        <v>4603</v>
      </c>
      <c r="D4589" t="s">
        <v>4604</v>
      </c>
      <c r="E4589" s="2"/>
      <c r="F4589" t="s">
        <v>12</v>
      </c>
      <c r="G4589" t="s">
        <v>4258</v>
      </c>
      <c r="H4589" t="s">
        <v>332</v>
      </c>
      <c r="I4589"/>
    </row>
    <row r="4590" spans="1:9">
      <c r="A4590" t="s">
        <v>4602</v>
      </c>
      <c r="B4590" s="1" t="str">
        <f>"20828417"</f>
        <v>20828417</v>
      </c>
      <c r="C4590" t="s">
        <v>4603</v>
      </c>
      <c r="D4590" t="s">
        <v>4605</v>
      </c>
      <c r="E4590" s="2"/>
      <c r="F4590" t="s">
        <v>12</v>
      </c>
      <c r="G4590" t="s">
        <v>4258</v>
      </c>
      <c r="H4590" t="s">
        <v>4258</v>
      </c>
      <c r="I4590"/>
    </row>
    <row r="4591" spans="1:9">
      <c r="A4591" t="s">
        <v>4602</v>
      </c>
      <c r="B4591" s="1" t="str">
        <f>"20828417.2"</f>
        <v>20828417.2</v>
      </c>
      <c r="C4591" t="s">
        <v>4603</v>
      </c>
      <c r="D4591" t="s">
        <v>4605</v>
      </c>
      <c r="E4591" s="2"/>
      <c r="F4591" t="s">
        <v>12</v>
      </c>
      <c r="G4591" t="s">
        <v>4258</v>
      </c>
      <c r="H4591" t="s">
        <v>332</v>
      </c>
      <c r="I4591"/>
    </row>
    <row r="4592" spans="1:9">
      <c r="A4592" t="s">
        <v>4602</v>
      </c>
      <c r="B4592" s="1" t="str">
        <f>"20819737"</f>
        <v>20819737</v>
      </c>
      <c r="C4592" t="s">
        <v>4606</v>
      </c>
      <c r="D4592" t="s">
        <v>4607</v>
      </c>
      <c r="E4592" s="2"/>
      <c r="F4592" t="s">
        <v>380</v>
      </c>
      <c r="G4592" t="s">
        <v>25</v>
      </c>
      <c r="H4592" t="s">
        <v>25</v>
      </c>
      <c r="I4592"/>
    </row>
    <row r="4593" spans="1:9">
      <c r="A4593" t="s">
        <v>4602</v>
      </c>
      <c r="B4593" s="1" t="str">
        <f>"20819737.2"</f>
        <v>20819737.2</v>
      </c>
      <c r="C4593" t="s">
        <v>4606</v>
      </c>
      <c r="D4593" t="s">
        <v>4607</v>
      </c>
      <c r="E4593" s="2"/>
      <c r="F4593" t="s">
        <v>380</v>
      </c>
      <c r="G4593" t="s">
        <v>25</v>
      </c>
      <c r="H4593" t="s">
        <v>332</v>
      </c>
      <c r="I4593"/>
    </row>
    <row r="4594" spans="1:9">
      <c r="A4594" t="s">
        <v>4602</v>
      </c>
      <c r="B4594" s="1" t="str">
        <f>"20819738"</f>
        <v>20819738</v>
      </c>
      <c r="C4594" t="s">
        <v>4606</v>
      </c>
      <c r="D4594" t="s">
        <v>4608</v>
      </c>
      <c r="E4594" s="2"/>
      <c r="F4594" t="s">
        <v>380</v>
      </c>
      <c r="G4594" t="s">
        <v>25</v>
      </c>
      <c r="H4594" t="s">
        <v>25</v>
      </c>
      <c r="I4594"/>
    </row>
    <row r="4595" spans="1:9">
      <c r="A4595" t="s">
        <v>4602</v>
      </c>
      <c r="B4595" s="1" t="str">
        <f>"20819738.2"</f>
        <v>20819738.2</v>
      </c>
      <c r="C4595" t="s">
        <v>4606</v>
      </c>
      <c r="D4595" t="s">
        <v>4608</v>
      </c>
      <c r="E4595" s="2"/>
      <c r="F4595" t="s">
        <v>380</v>
      </c>
      <c r="G4595" t="s">
        <v>25</v>
      </c>
      <c r="H4595" t="s">
        <v>332</v>
      </c>
      <c r="I4595"/>
    </row>
    <row r="4596" spans="1:9">
      <c r="A4596" t="s">
        <v>4602</v>
      </c>
      <c r="B4596" s="1" t="str">
        <f>"20079154.2"</f>
        <v>20079154.2</v>
      </c>
      <c r="C4596" t="s">
        <v>4609</v>
      </c>
      <c r="D4596" t="s">
        <v>4610</v>
      </c>
      <c r="E4596" s="2"/>
      <c r="F4596" t="s">
        <v>4611</v>
      </c>
      <c r="G4596" t="s">
        <v>25</v>
      </c>
      <c r="H4596" t="s">
        <v>332</v>
      </c>
      <c r="I4596"/>
    </row>
    <row r="4597" spans="1:9">
      <c r="A4597" t="s">
        <v>4602</v>
      </c>
      <c r="B4597" s="1" t="str">
        <f>"20079154"</f>
        <v>20079154</v>
      </c>
      <c r="C4597" t="s">
        <v>4609</v>
      </c>
      <c r="D4597" t="s">
        <v>4612</v>
      </c>
      <c r="E4597" s="2"/>
      <c r="F4597" t="s">
        <v>4611</v>
      </c>
      <c r="G4597" t="s">
        <v>25</v>
      </c>
      <c r="H4597" t="s">
        <v>25</v>
      </c>
      <c r="I4597"/>
    </row>
    <row r="4598" spans="1:9">
      <c r="A4598" t="s">
        <v>4613</v>
      </c>
      <c r="B4598" s="1" t="str">
        <f>"20190077"</f>
        <v>20190077</v>
      </c>
      <c r="C4598" t="s">
        <v>4614</v>
      </c>
      <c r="D4598" t="s">
        <v>4615</v>
      </c>
      <c r="E4598" s="2"/>
      <c r="F4598" t="s">
        <v>4616</v>
      </c>
      <c r="G4598" t="s">
        <v>2948</v>
      </c>
      <c r="H4598" t="s">
        <v>2948</v>
      </c>
      <c r="I4598"/>
    </row>
    <row r="4599" spans="1:9">
      <c r="A4599" t="s">
        <v>4613</v>
      </c>
      <c r="B4599" s="1" t="str">
        <f>"20066197"</f>
        <v>20066197</v>
      </c>
      <c r="C4599" t="s">
        <v>4617</v>
      </c>
      <c r="D4599" t="s">
        <v>4618</v>
      </c>
      <c r="E4599" s="2"/>
      <c r="F4599"/>
      <c r="G4599" t="s">
        <v>75</v>
      </c>
      <c r="H4599" t="s">
        <v>75</v>
      </c>
      <c r="I4599"/>
    </row>
    <row r="4600" spans="1:9">
      <c r="A4600" t="s">
        <v>4613</v>
      </c>
      <c r="B4600" s="1" t="str">
        <f>"20066198"</f>
        <v>20066198</v>
      </c>
      <c r="C4600" t="s">
        <v>4617</v>
      </c>
      <c r="D4600" t="s">
        <v>4619</v>
      </c>
      <c r="E4600" s="2"/>
      <c r="F4600"/>
      <c r="G4600" t="s">
        <v>75</v>
      </c>
      <c r="H4600" t="s">
        <v>75</v>
      </c>
      <c r="I4600"/>
    </row>
    <row r="4601" spans="1:9">
      <c r="A4601" t="s">
        <v>4613</v>
      </c>
      <c r="B4601" s="1" t="str">
        <f>"20066199"</f>
        <v>20066199</v>
      </c>
      <c r="C4601" t="s">
        <v>4617</v>
      </c>
      <c r="D4601" t="s">
        <v>4620</v>
      </c>
      <c r="E4601" s="2"/>
      <c r="F4601"/>
      <c r="G4601" t="s">
        <v>75</v>
      </c>
      <c r="H4601" t="s">
        <v>75</v>
      </c>
      <c r="I4601"/>
    </row>
    <row r="4602" spans="1:9">
      <c r="A4602" t="s">
        <v>4613</v>
      </c>
      <c r="B4602" s="1" t="str">
        <f>"20066196"</f>
        <v>20066196</v>
      </c>
      <c r="C4602" t="s">
        <v>4617</v>
      </c>
      <c r="D4602" t="s">
        <v>4621</v>
      </c>
      <c r="E4602" s="2"/>
      <c r="F4602" t="s">
        <v>12</v>
      </c>
      <c r="G4602" t="s">
        <v>29</v>
      </c>
      <c r="H4602" t="s">
        <v>29</v>
      </c>
      <c r="I4602"/>
    </row>
    <row r="4603" spans="1:9">
      <c r="A4603" t="s">
        <v>4613</v>
      </c>
      <c r="B4603" s="1" t="str">
        <f>"20066200"</f>
        <v>20066200</v>
      </c>
      <c r="C4603" t="s">
        <v>4617</v>
      </c>
      <c r="D4603" t="s">
        <v>4622</v>
      </c>
      <c r="E4603" s="2"/>
      <c r="F4603" t="s">
        <v>52</v>
      </c>
      <c r="G4603" t="s">
        <v>75</v>
      </c>
      <c r="H4603" t="s">
        <v>75</v>
      </c>
      <c r="I4603"/>
    </row>
    <row r="4604" spans="1:9">
      <c r="A4604" t="s">
        <v>4613</v>
      </c>
      <c r="B4604" s="1" t="str">
        <f>"20015484"</f>
        <v>20015484</v>
      </c>
      <c r="C4604" t="s">
        <v>4623</v>
      </c>
      <c r="D4604" t="s">
        <v>4624</v>
      </c>
      <c r="E4604" s="2"/>
      <c r="F4604" t="s">
        <v>425</v>
      </c>
      <c r="G4604" t="s">
        <v>337</v>
      </c>
      <c r="H4604" t="s">
        <v>370</v>
      </c>
      <c r="I4604"/>
    </row>
    <row r="4605" spans="1:9">
      <c r="A4605" t="s">
        <v>4613</v>
      </c>
      <c r="B4605" s="1" t="str">
        <f>"20080587"</f>
        <v>20080587</v>
      </c>
      <c r="C4605" t="s">
        <v>4625</v>
      </c>
      <c r="D4605" t="s">
        <v>4626</v>
      </c>
      <c r="E4605" s="2"/>
      <c r="F4605" t="s">
        <v>336</v>
      </c>
      <c r="G4605" t="s">
        <v>29</v>
      </c>
      <c r="H4605" t="s">
        <v>29</v>
      </c>
      <c r="I4605"/>
    </row>
    <row r="4606" spans="1:9">
      <c r="A4606" t="s">
        <v>4613</v>
      </c>
      <c r="B4606" s="1" t="str">
        <f>"20119843"</f>
        <v>20119843</v>
      </c>
      <c r="C4606" t="s">
        <v>4625</v>
      </c>
      <c r="D4606" t="s">
        <v>4627</v>
      </c>
      <c r="E4606" s="2"/>
      <c r="F4606" t="s">
        <v>27</v>
      </c>
      <c r="G4606" t="s">
        <v>370</v>
      </c>
      <c r="H4606" t="s">
        <v>29</v>
      </c>
      <c r="I4606"/>
    </row>
    <row r="4607" spans="1:9">
      <c r="A4607" t="s">
        <v>4613</v>
      </c>
      <c r="B4607" s="1" t="str">
        <f>"20065362"</f>
        <v>20065362</v>
      </c>
      <c r="C4607" t="s">
        <v>4587</v>
      </c>
      <c r="D4607" t="s">
        <v>4628</v>
      </c>
      <c r="E4607" s="2"/>
      <c r="F4607" t="s">
        <v>12</v>
      </c>
      <c r="G4607" t="s">
        <v>337</v>
      </c>
      <c r="H4607" t="s">
        <v>337</v>
      </c>
      <c r="I4607"/>
    </row>
    <row r="4608" spans="1:9">
      <c r="A4608" t="s">
        <v>4613</v>
      </c>
      <c r="B4608" s="1" t="str">
        <f>"20065362.2"</f>
        <v>20065362.2</v>
      </c>
      <c r="C4608" t="s">
        <v>4587</v>
      </c>
      <c r="D4608" t="s">
        <v>4628</v>
      </c>
      <c r="E4608" s="2"/>
      <c r="F4608" t="s">
        <v>12</v>
      </c>
      <c r="G4608" t="s">
        <v>337</v>
      </c>
      <c r="H4608" t="s">
        <v>332</v>
      </c>
      <c r="I4608"/>
    </row>
    <row r="4609" spans="1:9">
      <c r="A4609" t="s">
        <v>4613</v>
      </c>
      <c r="B4609" s="1" t="str">
        <f>"20553807"</f>
        <v>20553807</v>
      </c>
      <c r="C4609" t="s">
        <v>4587</v>
      </c>
      <c r="D4609" t="s">
        <v>4629</v>
      </c>
      <c r="E4609" s="2"/>
      <c r="F4609" t="s">
        <v>336</v>
      </c>
      <c r="G4609" t="s">
        <v>337</v>
      </c>
      <c r="H4609" t="s">
        <v>337</v>
      </c>
      <c r="I4609"/>
    </row>
    <row r="4610" spans="1:9">
      <c r="A4610" t="s">
        <v>4613</v>
      </c>
      <c r="B4610" s="1" t="str">
        <f>"20233945"</f>
        <v>20233945</v>
      </c>
      <c r="C4610" t="s">
        <v>4587</v>
      </c>
      <c r="D4610" t="s">
        <v>4630</v>
      </c>
      <c r="E4610" s="2"/>
      <c r="F4610" t="s">
        <v>66</v>
      </c>
      <c r="G4610" t="s">
        <v>370</v>
      </c>
      <c r="H4610" t="s">
        <v>370</v>
      </c>
      <c r="I4610"/>
    </row>
    <row r="4611" spans="1:9">
      <c r="A4611" t="s">
        <v>4613</v>
      </c>
      <c r="B4611" s="1" t="str">
        <f>"20331149"</f>
        <v>20331149</v>
      </c>
      <c r="C4611" t="s">
        <v>225</v>
      </c>
      <c r="D4611" t="s">
        <v>4626</v>
      </c>
      <c r="E4611" s="2"/>
      <c r="F4611" t="s">
        <v>12</v>
      </c>
      <c r="G4611" t="s">
        <v>29</v>
      </c>
      <c r="H4611" t="s">
        <v>29</v>
      </c>
      <c r="I4611"/>
    </row>
    <row r="4612" spans="1:9">
      <c r="A4612" t="s">
        <v>4613</v>
      </c>
      <c r="B4612" s="1" t="str">
        <f>"24395076"</f>
        <v>24395076</v>
      </c>
      <c r="C4612" t="s">
        <v>225</v>
      </c>
      <c r="D4612" t="s">
        <v>4631</v>
      </c>
      <c r="E4612" s="2"/>
      <c r="F4612"/>
      <c r="G4612" t="s">
        <v>4632</v>
      </c>
      <c r="H4612" t="s">
        <v>449</v>
      </c>
      <c r="I4612"/>
    </row>
    <row r="4613" spans="1:9">
      <c r="A4613" t="s">
        <v>4613</v>
      </c>
      <c r="B4613" s="1" t="str">
        <f>"20088422"</f>
        <v>20088422</v>
      </c>
      <c r="C4613" t="s">
        <v>225</v>
      </c>
      <c r="D4613" t="s">
        <v>4633</v>
      </c>
      <c r="E4613" s="2"/>
      <c r="F4613" t="s">
        <v>2137</v>
      </c>
      <c r="G4613" t="s">
        <v>54</v>
      </c>
      <c r="H4613" t="s">
        <v>54</v>
      </c>
      <c r="I4613"/>
    </row>
    <row r="4614" spans="1:9">
      <c r="A4614" t="s">
        <v>4613</v>
      </c>
      <c r="B4614" s="1" t="str">
        <f>"20235246.2"</f>
        <v>20235246.2</v>
      </c>
      <c r="C4614" t="s">
        <v>4193</v>
      </c>
      <c r="D4614" t="s">
        <v>4634</v>
      </c>
      <c r="E4614" s="2"/>
      <c r="F4614" t="s">
        <v>66</v>
      </c>
      <c r="G4614" t="s">
        <v>29</v>
      </c>
      <c r="H4614" t="s">
        <v>332</v>
      </c>
      <c r="I4614"/>
    </row>
    <row r="4615" spans="1:9">
      <c r="A4615" t="s">
        <v>4613</v>
      </c>
      <c r="B4615" s="1" t="str">
        <f>"20189495"</f>
        <v>20189495</v>
      </c>
      <c r="C4615" t="s">
        <v>4193</v>
      </c>
      <c r="D4615" t="s">
        <v>4635</v>
      </c>
      <c r="E4615" s="2"/>
      <c r="F4615" t="s">
        <v>66</v>
      </c>
      <c r="G4615" t="s">
        <v>337</v>
      </c>
      <c r="H4615" t="s">
        <v>337</v>
      </c>
      <c r="I4615"/>
    </row>
    <row r="4616" spans="1:9">
      <c r="A4616" t="s">
        <v>4613</v>
      </c>
      <c r="B4616" s="1" t="str">
        <f>"20189495.2"</f>
        <v>20189495.2</v>
      </c>
      <c r="C4616" t="s">
        <v>4193</v>
      </c>
      <c r="D4616" t="s">
        <v>4635</v>
      </c>
      <c r="E4616" s="2"/>
      <c r="F4616" t="s">
        <v>66</v>
      </c>
      <c r="G4616" t="s">
        <v>337</v>
      </c>
      <c r="H4616" t="s">
        <v>332</v>
      </c>
      <c r="I4616"/>
    </row>
    <row r="4617" spans="1:9">
      <c r="A4617" t="s">
        <v>4613</v>
      </c>
      <c r="B4617" s="1" t="str">
        <f>"20235246"</f>
        <v>20235246</v>
      </c>
      <c r="C4617" t="s">
        <v>4193</v>
      </c>
      <c r="D4617" t="s">
        <v>4636</v>
      </c>
      <c r="E4617" s="2"/>
      <c r="F4617" t="s">
        <v>66</v>
      </c>
      <c r="G4617" t="s">
        <v>29</v>
      </c>
      <c r="H4617" t="s">
        <v>29</v>
      </c>
      <c r="I4617"/>
    </row>
    <row r="4618" spans="1:9">
      <c r="A4618" t="s">
        <v>4613</v>
      </c>
      <c r="B4618" s="1" t="str">
        <f>"20220280"</f>
        <v>20220280</v>
      </c>
      <c r="C4618" t="s">
        <v>4637</v>
      </c>
      <c r="D4618" t="s">
        <v>4638</v>
      </c>
      <c r="E4618" s="2"/>
      <c r="F4618" t="s">
        <v>1444</v>
      </c>
      <c r="G4618" t="s">
        <v>4639</v>
      </c>
      <c r="H4618" t="s">
        <v>4640</v>
      </c>
      <c r="I4618"/>
    </row>
    <row r="4619" spans="1:9">
      <c r="A4619" t="s">
        <v>4613</v>
      </c>
      <c r="B4619" s="1" t="str">
        <f>"20055516"</f>
        <v>20055516</v>
      </c>
      <c r="C4619" t="s">
        <v>4637</v>
      </c>
      <c r="D4619" t="s">
        <v>4641</v>
      </c>
      <c r="E4619" s="2"/>
      <c r="F4619" t="s">
        <v>1444</v>
      </c>
      <c r="G4619" t="s">
        <v>4640</v>
      </c>
      <c r="H4619" t="s">
        <v>4640</v>
      </c>
      <c r="I4619"/>
    </row>
    <row r="4620" spans="1:9">
      <c r="A4620" t="s">
        <v>4613</v>
      </c>
      <c r="B4620" s="1" t="str">
        <f>"20039714"</f>
        <v>20039714</v>
      </c>
      <c r="C4620" t="s">
        <v>4637</v>
      </c>
      <c r="D4620" t="s">
        <v>4642</v>
      </c>
      <c r="E4620" s="2"/>
      <c r="F4620" t="s">
        <v>1444</v>
      </c>
      <c r="G4620" t="s">
        <v>4640</v>
      </c>
      <c r="H4620" t="s">
        <v>4640</v>
      </c>
      <c r="I4620"/>
    </row>
    <row r="4621" spans="1:9">
      <c r="A4621" t="s">
        <v>4613</v>
      </c>
      <c r="B4621" s="1" t="str">
        <f>"20068158"</f>
        <v>20068158</v>
      </c>
      <c r="C4621" t="s">
        <v>4637</v>
      </c>
      <c r="D4621" t="s">
        <v>4643</v>
      </c>
      <c r="E4621" s="2"/>
      <c r="F4621" t="s">
        <v>4644</v>
      </c>
      <c r="G4621" t="s">
        <v>4639</v>
      </c>
      <c r="H4621" t="s">
        <v>4639</v>
      </c>
      <c r="I4621"/>
    </row>
    <row r="4622" spans="1:9">
      <c r="A4622" t="s">
        <v>4613</v>
      </c>
      <c r="B4622" s="1" t="str">
        <f>"20068158.2"</f>
        <v>20068158.2</v>
      </c>
      <c r="C4622" t="s">
        <v>4637</v>
      </c>
      <c r="D4622" t="s">
        <v>4643</v>
      </c>
      <c r="E4622" s="2"/>
      <c r="F4622" t="s">
        <v>336</v>
      </c>
      <c r="G4622" t="s">
        <v>4639</v>
      </c>
      <c r="H4622" t="s">
        <v>332</v>
      </c>
      <c r="I4622"/>
    </row>
    <row r="4623" spans="1:9">
      <c r="A4623" t="s">
        <v>4613</v>
      </c>
      <c r="B4623" s="1" t="str">
        <f>"20039714.2"</f>
        <v>20039714.2</v>
      </c>
      <c r="C4623" t="s">
        <v>4637</v>
      </c>
      <c r="D4623" t="s">
        <v>4645</v>
      </c>
      <c r="E4623" s="2"/>
      <c r="F4623" t="s">
        <v>66</v>
      </c>
      <c r="G4623" t="s">
        <v>4639</v>
      </c>
      <c r="H4623" t="s">
        <v>332</v>
      </c>
      <c r="I4623"/>
    </row>
    <row r="4624" spans="1:9">
      <c r="A4624" t="s">
        <v>4613</v>
      </c>
      <c r="B4624" s="1" t="str">
        <f>"20262402"</f>
        <v>20262402</v>
      </c>
      <c r="C4624" t="s">
        <v>4637</v>
      </c>
      <c r="D4624" t="s">
        <v>4646</v>
      </c>
      <c r="E4624" s="2"/>
      <c r="F4624" t="s">
        <v>1444</v>
      </c>
      <c r="G4624" t="s">
        <v>4640</v>
      </c>
      <c r="H4624" t="s">
        <v>4640</v>
      </c>
      <c r="I4624"/>
    </row>
    <row r="4625" spans="1:9">
      <c r="A4625" t="s">
        <v>4613</v>
      </c>
      <c r="B4625" s="1" t="str">
        <f>"20089962"</f>
        <v>20089962</v>
      </c>
      <c r="C4625" t="s">
        <v>4647</v>
      </c>
      <c r="D4625" t="s">
        <v>4626</v>
      </c>
      <c r="E4625" s="2"/>
      <c r="F4625" t="s">
        <v>336</v>
      </c>
      <c r="G4625" t="s">
        <v>337</v>
      </c>
      <c r="H4625" t="s">
        <v>337</v>
      </c>
      <c r="I4625"/>
    </row>
    <row r="4626" spans="1:9">
      <c r="A4626" t="s">
        <v>4613</v>
      </c>
      <c r="B4626" s="1" t="str">
        <f>"20089962.2"</f>
        <v>20089962.2</v>
      </c>
      <c r="C4626" t="s">
        <v>4647</v>
      </c>
      <c r="D4626" t="s">
        <v>4626</v>
      </c>
      <c r="E4626" s="2"/>
      <c r="F4626" t="s">
        <v>336</v>
      </c>
      <c r="G4626" t="s">
        <v>337</v>
      </c>
      <c r="H4626" t="s">
        <v>332</v>
      </c>
      <c r="I4626"/>
    </row>
    <row r="4627" spans="1:9">
      <c r="A4627" t="s">
        <v>4613</v>
      </c>
      <c r="B4627" s="1" t="str">
        <f>"20119843.2"</f>
        <v>20119843.2</v>
      </c>
      <c r="C4627" t="s">
        <v>4647</v>
      </c>
      <c r="D4627" t="s">
        <v>4627</v>
      </c>
      <c r="E4627" s="2"/>
      <c r="F4627" t="s">
        <v>27</v>
      </c>
      <c r="G4627" t="s">
        <v>370</v>
      </c>
      <c r="H4627" t="s">
        <v>332</v>
      </c>
      <c r="I4627"/>
    </row>
    <row r="4628" spans="1:9">
      <c r="A4628" t="s">
        <v>4613</v>
      </c>
      <c r="B4628" s="1" t="str">
        <f>"20832247"</f>
        <v>20832247</v>
      </c>
      <c r="C4628" t="s">
        <v>4647</v>
      </c>
      <c r="D4628" t="s">
        <v>4648</v>
      </c>
      <c r="E4628" s="2"/>
      <c r="F4628" t="s">
        <v>4649</v>
      </c>
      <c r="G4628" t="s">
        <v>296</v>
      </c>
      <c r="H4628" t="s">
        <v>997</v>
      </c>
      <c r="I4628"/>
    </row>
    <row r="4629" spans="1:9">
      <c r="A4629" t="s">
        <v>4613</v>
      </c>
      <c r="B4629" s="1" t="str">
        <f>"20832247.2"</f>
        <v>20832247.2</v>
      </c>
      <c r="C4629" t="s">
        <v>4647</v>
      </c>
      <c r="D4629" t="s">
        <v>4650</v>
      </c>
      <c r="E4629" s="2"/>
      <c r="F4629" t="s">
        <v>4651</v>
      </c>
      <c r="G4629" t="s">
        <v>296</v>
      </c>
      <c r="H4629" t="s">
        <v>517</v>
      </c>
      <c r="I4629"/>
    </row>
    <row r="4630" spans="1:9">
      <c r="A4630" t="s">
        <v>4613</v>
      </c>
      <c r="B4630" s="1" t="str">
        <f>"20338259"</f>
        <v>20338259</v>
      </c>
      <c r="C4630" t="s">
        <v>4647</v>
      </c>
      <c r="D4630" t="s">
        <v>4652</v>
      </c>
      <c r="E4630" s="2"/>
      <c r="F4630" t="s">
        <v>4651</v>
      </c>
      <c r="G4630" t="s">
        <v>13</v>
      </c>
      <c r="H4630" t="s">
        <v>13</v>
      </c>
      <c r="I4630"/>
    </row>
    <row r="4631" spans="1:9">
      <c r="A4631" t="s">
        <v>4613</v>
      </c>
      <c r="B4631" s="1" t="str">
        <f>"20338259.2"</f>
        <v>20338259.2</v>
      </c>
      <c r="C4631" t="s">
        <v>4647</v>
      </c>
      <c r="D4631" t="s">
        <v>4652</v>
      </c>
      <c r="E4631" s="2"/>
      <c r="F4631" t="s">
        <v>4651</v>
      </c>
      <c r="G4631" t="s">
        <v>13</v>
      </c>
      <c r="H4631" t="s">
        <v>218</v>
      </c>
      <c r="I4631"/>
    </row>
    <row r="4632" spans="1:9">
      <c r="A4632" t="s">
        <v>4613</v>
      </c>
      <c r="B4632" s="1" t="str">
        <f>"20522155"</f>
        <v>20522155</v>
      </c>
      <c r="C4632" t="s">
        <v>4653</v>
      </c>
      <c r="D4632" t="s">
        <v>4654</v>
      </c>
      <c r="E4632" s="2"/>
      <c r="F4632"/>
      <c r="G4632" t="s">
        <v>58</v>
      </c>
      <c r="H4632" t="s">
        <v>58</v>
      </c>
      <c r="I4632"/>
    </row>
    <row r="4633" spans="1:9">
      <c r="A4633" t="s">
        <v>4655</v>
      </c>
      <c r="B4633" s="1" t="str">
        <f>"20092321"</f>
        <v>20092321</v>
      </c>
      <c r="C4633" t="s">
        <v>4656</v>
      </c>
      <c r="D4633" t="s">
        <v>4657</v>
      </c>
      <c r="E4633" s="2"/>
      <c r="F4633" t="s">
        <v>48</v>
      </c>
      <c r="G4633" t="s">
        <v>80</v>
      </c>
      <c r="H4633" t="s">
        <v>80</v>
      </c>
      <c r="I4633"/>
    </row>
    <row r="4634" spans="1:9">
      <c r="A4634" t="s">
        <v>4655</v>
      </c>
      <c r="B4634" s="1" t="str">
        <f>"20082918"</f>
        <v>20082918</v>
      </c>
      <c r="C4634" t="s">
        <v>4656</v>
      </c>
      <c r="D4634" t="s">
        <v>4658</v>
      </c>
      <c r="E4634" s="2"/>
      <c r="F4634" t="s">
        <v>48</v>
      </c>
      <c r="G4634" t="s">
        <v>80</v>
      </c>
      <c r="H4634" t="s">
        <v>80</v>
      </c>
      <c r="I4634"/>
    </row>
    <row r="4635" spans="1:9">
      <c r="A4635" t="s">
        <v>4655</v>
      </c>
      <c r="B4635" s="1" t="str">
        <f>"20112943"</f>
        <v>20112943</v>
      </c>
      <c r="C4635" t="s">
        <v>4659</v>
      </c>
      <c r="D4635" t="s">
        <v>4660</v>
      </c>
      <c r="E4635" s="2"/>
      <c r="F4635" t="s">
        <v>336</v>
      </c>
      <c r="G4635" t="s">
        <v>370</v>
      </c>
      <c r="H4635" t="s">
        <v>370</v>
      </c>
      <c r="I4635"/>
    </row>
    <row r="4636" spans="1:9">
      <c r="A4636" t="s">
        <v>4655</v>
      </c>
      <c r="B4636" s="1" t="str">
        <f>"20020958"</f>
        <v>20020958</v>
      </c>
      <c r="C4636" t="s">
        <v>4661</v>
      </c>
      <c r="D4636" t="s">
        <v>4662</v>
      </c>
      <c r="E4636" s="2"/>
      <c r="F4636" t="s">
        <v>336</v>
      </c>
      <c r="G4636" t="s">
        <v>29</v>
      </c>
      <c r="H4636" t="s">
        <v>29</v>
      </c>
      <c r="I4636"/>
    </row>
    <row r="4637" spans="1:9">
      <c r="A4637" t="s">
        <v>4655</v>
      </c>
      <c r="B4637" s="1" t="str">
        <f>"20020958.2"</f>
        <v>20020958.2</v>
      </c>
      <c r="C4637" t="s">
        <v>4661</v>
      </c>
      <c r="D4637" t="s">
        <v>4662</v>
      </c>
      <c r="E4637" s="2"/>
      <c r="F4637" t="s">
        <v>336</v>
      </c>
      <c r="G4637" t="s">
        <v>29</v>
      </c>
      <c r="H4637" t="s">
        <v>332</v>
      </c>
      <c r="I4637"/>
    </row>
    <row r="4638" spans="1:9">
      <c r="A4638" t="s">
        <v>4655</v>
      </c>
      <c r="B4638" s="1" t="str">
        <f>"20011985"</f>
        <v>20011985</v>
      </c>
      <c r="C4638" t="s">
        <v>4661</v>
      </c>
      <c r="D4638" t="s">
        <v>4663</v>
      </c>
      <c r="E4638" s="2"/>
      <c r="F4638" t="s">
        <v>336</v>
      </c>
      <c r="G4638" t="s">
        <v>3339</v>
      </c>
      <c r="H4638" t="s">
        <v>29</v>
      </c>
      <c r="I4638"/>
    </row>
    <row r="4639" spans="1:9">
      <c r="A4639" t="s">
        <v>4655</v>
      </c>
      <c r="B4639" s="1" t="str">
        <f>"20855758"</f>
        <v>20855758</v>
      </c>
      <c r="C4639" t="s">
        <v>4661</v>
      </c>
      <c r="D4639" t="s">
        <v>4664</v>
      </c>
      <c r="E4639" s="2"/>
      <c r="F4639" t="s">
        <v>336</v>
      </c>
      <c r="G4639" t="s">
        <v>29</v>
      </c>
      <c r="H4639" t="s">
        <v>29</v>
      </c>
      <c r="I4639"/>
    </row>
    <row r="4640" spans="1:9">
      <c r="A4640" t="s">
        <v>4655</v>
      </c>
      <c r="B4640" s="1" t="str">
        <f>"20855758.2"</f>
        <v>20855758.2</v>
      </c>
      <c r="C4640" t="s">
        <v>4661</v>
      </c>
      <c r="D4640" t="s">
        <v>4664</v>
      </c>
      <c r="E4640" s="2"/>
      <c r="F4640" t="s">
        <v>336</v>
      </c>
      <c r="G4640" t="s">
        <v>29</v>
      </c>
      <c r="H4640" t="s">
        <v>332</v>
      </c>
      <c r="I4640"/>
    </row>
    <row r="4641" spans="1:9">
      <c r="A4641" t="s">
        <v>4655</v>
      </c>
      <c r="B4641" s="1" t="str">
        <f>"20011985.2"</f>
        <v>20011985.2</v>
      </c>
      <c r="C4641" t="s">
        <v>4661</v>
      </c>
      <c r="D4641" t="s">
        <v>4665</v>
      </c>
      <c r="E4641" s="2"/>
      <c r="F4641" t="s">
        <v>1247</v>
      </c>
      <c r="G4641" t="s">
        <v>3339</v>
      </c>
      <c r="H4641" t="s">
        <v>332</v>
      </c>
      <c r="I4641"/>
    </row>
    <row r="4642" spans="1:9">
      <c r="A4642" t="s">
        <v>4655</v>
      </c>
      <c r="B4642" s="1" t="str">
        <f>"20066195"</f>
        <v>20066195</v>
      </c>
      <c r="C4642" t="s">
        <v>4587</v>
      </c>
      <c r="D4642" t="s">
        <v>4666</v>
      </c>
      <c r="E4642" s="2"/>
      <c r="F4642" t="s">
        <v>66</v>
      </c>
      <c r="G4642" t="s">
        <v>29</v>
      </c>
      <c r="H4642" t="s">
        <v>29</v>
      </c>
      <c r="I4642"/>
    </row>
    <row r="4643" spans="1:9">
      <c r="A4643" t="s">
        <v>4655</v>
      </c>
      <c r="B4643" s="1" t="str">
        <f>"20066195.2"</f>
        <v>20066195.2</v>
      </c>
      <c r="C4643" t="s">
        <v>4587</v>
      </c>
      <c r="D4643" t="s">
        <v>4666</v>
      </c>
      <c r="E4643" s="2"/>
      <c r="F4643" t="s">
        <v>66</v>
      </c>
      <c r="G4643" t="s">
        <v>29</v>
      </c>
      <c r="H4643" t="s">
        <v>332</v>
      </c>
      <c r="I4643"/>
    </row>
    <row r="4644" spans="1:9">
      <c r="A4644" t="s">
        <v>4655</v>
      </c>
      <c r="B4644" s="1" t="str">
        <f>"20066192"</f>
        <v>20066192</v>
      </c>
      <c r="C4644" t="s">
        <v>4587</v>
      </c>
      <c r="D4644" t="s">
        <v>4667</v>
      </c>
      <c r="E4644" s="2"/>
      <c r="F4644" t="s">
        <v>66</v>
      </c>
      <c r="G4644" t="s">
        <v>337</v>
      </c>
      <c r="H4644" t="s">
        <v>337</v>
      </c>
      <c r="I4644"/>
    </row>
    <row r="4645" spans="1:9">
      <c r="A4645" t="s">
        <v>4655</v>
      </c>
      <c r="B4645" s="1" t="str">
        <f>"20066192.2"</f>
        <v>20066192.2</v>
      </c>
      <c r="C4645" t="s">
        <v>4587</v>
      </c>
      <c r="D4645" t="s">
        <v>4667</v>
      </c>
      <c r="E4645" s="2"/>
      <c r="F4645" t="s">
        <v>66</v>
      </c>
      <c r="G4645" t="s">
        <v>337</v>
      </c>
      <c r="H4645" t="s">
        <v>332</v>
      </c>
      <c r="I4645"/>
    </row>
    <row r="4646" spans="1:9">
      <c r="A4646" t="s">
        <v>4655</v>
      </c>
      <c r="B4646" s="1" t="str">
        <f>"20066194"</f>
        <v>20066194</v>
      </c>
      <c r="C4646" t="s">
        <v>4587</v>
      </c>
      <c r="D4646" t="s">
        <v>4668</v>
      </c>
      <c r="E4646" s="2"/>
      <c r="F4646" t="s">
        <v>336</v>
      </c>
      <c r="G4646" t="s">
        <v>337</v>
      </c>
      <c r="H4646" t="s">
        <v>337</v>
      </c>
      <c r="I4646"/>
    </row>
    <row r="4647" spans="1:9">
      <c r="A4647" t="s">
        <v>4655</v>
      </c>
      <c r="B4647" s="1" t="str">
        <f>"20066194.2"</f>
        <v>20066194.2</v>
      </c>
      <c r="C4647" t="s">
        <v>4587</v>
      </c>
      <c r="D4647" t="s">
        <v>4668</v>
      </c>
      <c r="E4647" s="2"/>
      <c r="F4647" t="s">
        <v>336</v>
      </c>
      <c r="G4647" t="s">
        <v>337</v>
      </c>
      <c r="H4647" t="s">
        <v>332</v>
      </c>
      <c r="I4647"/>
    </row>
    <row r="4648" spans="1:9">
      <c r="A4648" t="s">
        <v>4655</v>
      </c>
      <c r="B4648" s="1" t="str">
        <f>"20066191"</f>
        <v>20066191</v>
      </c>
      <c r="C4648" t="s">
        <v>4587</v>
      </c>
      <c r="D4648" t="s">
        <v>4669</v>
      </c>
      <c r="E4648" s="2"/>
      <c r="F4648" t="s">
        <v>336</v>
      </c>
      <c r="G4648" t="s">
        <v>337</v>
      </c>
      <c r="H4648" t="s">
        <v>337</v>
      </c>
      <c r="I4648"/>
    </row>
    <row r="4649" spans="1:9">
      <c r="A4649" t="s">
        <v>4655</v>
      </c>
      <c r="B4649" s="1" t="str">
        <f>"20025885"</f>
        <v>20025885</v>
      </c>
      <c r="C4649" t="s">
        <v>4587</v>
      </c>
      <c r="D4649" t="s">
        <v>4670</v>
      </c>
      <c r="E4649" s="2"/>
      <c r="F4649" t="s">
        <v>336</v>
      </c>
      <c r="G4649" t="s">
        <v>337</v>
      </c>
      <c r="H4649" t="s">
        <v>337</v>
      </c>
      <c r="I4649"/>
    </row>
    <row r="4650" spans="1:9">
      <c r="A4650" t="s">
        <v>4655</v>
      </c>
      <c r="B4650" s="1" t="str">
        <f>"20025885.2"</f>
        <v>20025885.2</v>
      </c>
      <c r="C4650" t="s">
        <v>4587</v>
      </c>
      <c r="D4650" t="s">
        <v>4670</v>
      </c>
      <c r="E4650" s="2"/>
      <c r="F4650" t="s">
        <v>336</v>
      </c>
      <c r="G4650" t="s">
        <v>337</v>
      </c>
      <c r="H4650" t="s">
        <v>332</v>
      </c>
      <c r="I4650"/>
    </row>
    <row r="4651" spans="1:9">
      <c r="A4651" t="s">
        <v>4655</v>
      </c>
      <c r="B4651" s="1" t="str">
        <f>"20656713"</f>
        <v>20656713</v>
      </c>
      <c r="C4651" t="s">
        <v>225</v>
      </c>
      <c r="D4651" t="s">
        <v>4671</v>
      </c>
      <c r="E4651" s="2"/>
      <c r="F4651" t="s">
        <v>12</v>
      </c>
      <c r="G4651" t="s">
        <v>370</v>
      </c>
      <c r="H4651" t="s">
        <v>370</v>
      </c>
      <c r="I4651"/>
    </row>
    <row r="4652" spans="1:9">
      <c r="A4652" t="s">
        <v>4655</v>
      </c>
      <c r="B4652" s="1" t="str">
        <f>"20073114"</f>
        <v>20073114</v>
      </c>
      <c r="C4652" t="s">
        <v>225</v>
      </c>
      <c r="D4652" t="s">
        <v>4672</v>
      </c>
      <c r="E4652" s="2"/>
      <c r="F4652" t="s">
        <v>12</v>
      </c>
      <c r="G4652" t="s">
        <v>370</v>
      </c>
      <c r="H4652" t="s">
        <v>370</v>
      </c>
      <c r="I4652"/>
    </row>
    <row r="4653" spans="1:9">
      <c r="A4653" t="s">
        <v>4655</v>
      </c>
      <c r="B4653" s="1" t="str">
        <f>"23317974"</f>
        <v>23317974</v>
      </c>
      <c r="C4653" t="s">
        <v>225</v>
      </c>
      <c r="D4653" t="s">
        <v>4673</v>
      </c>
      <c r="E4653" s="2"/>
      <c r="F4653" t="s">
        <v>336</v>
      </c>
      <c r="G4653" t="s">
        <v>29</v>
      </c>
      <c r="H4653" t="s">
        <v>29</v>
      </c>
      <c r="I4653"/>
    </row>
    <row r="4654" spans="1:9">
      <c r="A4654" t="s">
        <v>4655</v>
      </c>
      <c r="B4654" s="1" t="str">
        <f>"20151225"</f>
        <v>20151225</v>
      </c>
      <c r="C4654" t="s">
        <v>225</v>
      </c>
      <c r="D4654" t="s">
        <v>4674</v>
      </c>
      <c r="E4654" s="2"/>
      <c r="F4654"/>
      <c r="G4654" t="s">
        <v>58</v>
      </c>
      <c r="H4654" t="s">
        <v>58</v>
      </c>
      <c r="I4654"/>
    </row>
    <row r="4655" spans="1:9">
      <c r="A4655" t="s">
        <v>4655</v>
      </c>
      <c r="B4655" s="1" t="str">
        <f>"20433817"</f>
        <v>20433817</v>
      </c>
      <c r="C4655" t="s">
        <v>225</v>
      </c>
      <c r="D4655" t="s">
        <v>4675</v>
      </c>
      <c r="E4655" s="2"/>
      <c r="F4655" t="s">
        <v>4676</v>
      </c>
      <c r="G4655" t="s">
        <v>337</v>
      </c>
      <c r="H4655" t="s">
        <v>337</v>
      </c>
      <c r="I4655"/>
    </row>
    <row r="4656" spans="1:9">
      <c r="A4656" t="s">
        <v>4655</v>
      </c>
      <c r="B4656" s="1" t="str">
        <f>"20079987"</f>
        <v>20079987</v>
      </c>
      <c r="C4656" t="s">
        <v>4594</v>
      </c>
      <c r="D4656" t="s">
        <v>4677</v>
      </c>
      <c r="E4656" s="2"/>
      <c r="F4656" t="s">
        <v>22</v>
      </c>
      <c r="G4656" t="s">
        <v>2006</v>
      </c>
      <c r="H4656" t="s">
        <v>2006</v>
      </c>
      <c r="I4656"/>
    </row>
    <row r="4657" spans="1:9">
      <c r="A4657" t="s">
        <v>4655</v>
      </c>
      <c r="B4657" s="1" t="str">
        <f>"20079987.2"</f>
        <v>20079987.2</v>
      </c>
      <c r="C4657" t="s">
        <v>4594</v>
      </c>
      <c r="D4657" t="s">
        <v>4677</v>
      </c>
      <c r="E4657" s="2"/>
      <c r="F4657" t="s">
        <v>22</v>
      </c>
      <c r="G4657" t="s">
        <v>2006</v>
      </c>
      <c r="H4657" t="s">
        <v>383</v>
      </c>
      <c r="I4657"/>
    </row>
    <row r="4658" spans="1:9">
      <c r="A4658" t="s">
        <v>4655</v>
      </c>
      <c r="B4658" s="1" t="str">
        <f>"20090722"</f>
        <v>20090722</v>
      </c>
      <c r="C4658" t="s">
        <v>4678</v>
      </c>
      <c r="D4658" t="s">
        <v>4679</v>
      </c>
      <c r="E4658" s="2"/>
      <c r="F4658" t="s">
        <v>295</v>
      </c>
      <c r="G4658" t="s">
        <v>82</v>
      </c>
      <c r="H4658" t="s">
        <v>82</v>
      </c>
      <c r="I4658"/>
    </row>
    <row r="4659" spans="1:9">
      <c r="A4659" t="s">
        <v>4655</v>
      </c>
      <c r="B4659" s="1" t="str">
        <f>"20928313"</f>
        <v>20928313</v>
      </c>
      <c r="C4659" t="s">
        <v>4680</v>
      </c>
      <c r="D4659" t="s">
        <v>4681</v>
      </c>
      <c r="E4659" s="2"/>
      <c r="F4659" t="s">
        <v>12</v>
      </c>
      <c r="G4659" t="s">
        <v>25</v>
      </c>
      <c r="H4659" t="s">
        <v>25</v>
      </c>
      <c r="I4659"/>
    </row>
    <row r="4660" spans="1:9">
      <c r="A4660" t="s">
        <v>4655</v>
      </c>
      <c r="B4660" s="1" t="str">
        <f>"20832209"</f>
        <v>20832209</v>
      </c>
      <c r="C4660" t="s">
        <v>4318</v>
      </c>
      <c r="D4660" t="s">
        <v>4682</v>
      </c>
      <c r="E4660" s="2"/>
      <c r="F4660" t="s">
        <v>336</v>
      </c>
      <c r="G4660" t="s">
        <v>29</v>
      </c>
      <c r="H4660" t="s">
        <v>29</v>
      </c>
      <c r="I4660"/>
    </row>
    <row r="4661" spans="1:9">
      <c r="A4661" t="s">
        <v>4655</v>
      </c>
      <c r="B4661" s="1" t="str">
        <f>"20832209.2"</f>
        <v>20832209.2</v>
      </c>
      <c r="C4661" t="s">
        <v>4318</v>
      </c>
      <c r="D4661" t="s">
        <v>4682</v>
      </c>
      <c r="E4661" s="2"/>
      <c r="F4661" t="s">
        <v>336</v>
      </c>
      <c r="G4661" t="s">
        <v>29</v>
      </c>
      <c r="H4661" t="s">
        <v>332</v>
      </c>
      <c r="I4661"/>
    </row>
    <row r="4662" spans="1:9">
      <c r="A4662" t="s">
        <v>4655</v>
      </c>
      <c r="B4662" s="1" t="str">
        <f>"20056155M"</f>
        <v>20056155M</v>
      </c>
      <c r="C4662" t="s">
        <v>4683</v>
      </c>
      <c r="D4662" t="s">
        <v>4684</v>
      </c>
      <c r="E4662" s="2"/>
      <c r="F4662" t="s">
        <v>380</v>
      </c>
      <c r="G4662" t="s">
        <v>177</v>
      </c>
      <c r="H4662" t="s">
        <v>177</v>
      </c>
      <c r="I4662"/>
    </row>
    <row r="4663" spans="1:9">
      <c r="A4663" t="s">
        <v>4655</v>
      </c>
      <c r="B4663" s="1" t="str">
        <f>"20079666"</f>
        <v>20079666</v>
      </c>
      <c r="C4663" t="s">
        <v>4683</v>
      </c>
      <c r="D4663" t="s">
        <v>4685</v>
      </c>
      <c r="E4663" s="2"/>
      <c r="F4663" t="s">
        <v>267</v>
      </c>
      <c r="G4663" t="s">
        <v>4000</v>
      </c>
      <c r="H4663" t="s">
        <v>4000</v>
      </c>
      <c r="I4663"/>
    </row>
    <row r="4664" spans="1:9">
      <c r="A4664" t="s">
        <v>4655</v>
      </c>
      <c r="B4664" s="1" t="str">
        <f>"20079758"</f>
        <v>20079758</v>
      </c>
      <c r="C4664" t="s">
        <v>4683</v>
      </c>
      <c r="D4664" t="s">
        <v>4686</v>
      </c>
      <c r="E4664" s="2"/>
      <c r="F4664"/>
      <c r="G4664" t="s">
        <v>80</v>
      </c>
      <c r="H4664" t="s">
        <v>80</v>
      </c>
      <c r="I4664"/>
    </row>
    <row r="4665" spans="1:9">
      <c r="A4665" t="s">
        <v>4655</v>
      </c>
      <c r="B4665" s="1" t="str">
        <f>"20172558"</f>
        <v>20172558</v>
      </c>
      <c r="C4665" t="s">
        <v>4687</v>
      </c>
      <c r="D4665" t="s">
        <v>4688</v>
      </c>
      <c r="E4665" s="2"/>
      <c r="F4665" t="s">
        <v>336</v>
      </c>
      <c r="G4665" t="s">
        <v>25</v>
      </c>
      <c r="H4665" t="s">
        <v>25</v>
      </c>
      <c r="I4665"/>
    </row>
    <row r="4666" spans="1:9">
      <c r="A4666" t="s">
        <v>4655</v>
      </c>
      <c r="B4666" s="1" t="str">
        <f>"20172558.2"</f>
        <v>20172558.2</v>
      </c>
      <c r="C4666" t="s">
        <v>4687</v>
      </c>
      <c r="D4666" t="s">
        <v>4688</v>
      </c>
      <c r="E4666" s="2"/>
      <c r="F4666" t="s">
        <v>336</v>
      </c>
      <c r="G4666" t="s">
        <v>25</v>
      </c>
      <c r="H4666" t="s">
        <v>332</v>
      </c>
      <c r="I4666"/>
    </row>
    <row r="4667" spans="1:9">
      <c r="A4667" t="s">
        <v>4655</v>
      </c>
      <c r="B4667" s="1" t="str">
        <f>"20172557"</f>
        <v>20172557</v>
      </c>
      <c r="C4667" t="s">
        <v>4687</v>
      </c>
      <c r="D4667" t="s">
        <v>4689</v>
      </c>
      <c r="E4667" s="2"/>
      <c r="F4667" t="s">
        <v>336</v>
      </c>
      <c r="G4667" t="s">
        <v>25</v>
      </c>
      <c r="H4667" t="s">
        <v>25</v>
      </c>
      <c r="I4667"/>
    </row>
    <row r="4668" spans="1:9">
      <c r="A4668" t="s">
        <v>4655</v>
      </c>
      <c r="B4668" s="1" t="str">
        <f>"20172557.2"</f>
        <v>20172557.2</v>
      </c>
      <c r="C4668" t="s">
        <v>4687</v>
      </c>
      <c r="D4668" t="s">
        <v>4689</v>
      </c>
      <c r="E4668" s="2"/>
      <c r="F4668" t="s">
        <v>336</v>
      </c>
      <c r="G4668" t="s">
        <v>25</v>
      </c>
      <c r="H4668" t="s">
        <v>332</v>
      </c>
      <c r="I4668"/>
    </row>
    <row r="4669" spans="1:9">
      <c r="A4669" t="s">
        <v>4655</v>
      </c>
      <c r="B4669" s="1" t="str">
        <f>"20104566"</f>
        <v>20104566</v>
      </c>
      <c r="C4669" t="s">
        <v>4687</v>
      </c>
      <c r="D4669" t="s">
        <v>4690</v>
      </c>
      <c r="E4669" s="2"/>
      <c r="F4669" t="s">
        <v>66</v>
      </c>
      <c r="G4669" t="s">
        <v>370</v>
      </c>
      <c r="H4669" t="s">
        <v>370</v>
      </c>
      <c r="I4669"/>
    </row>
    <row r="4670" spans="1:9">
      <c r="A4670" t="s">
        <v>4655</v>
      </c>
      <c r="B4670" s="1" t="str">
        <f>"20104566.2"</f>
        <v>20104566.2</v>
      </c>
      <c r="C4670" t="s">
        <v>4687</v>
      </c>
      <c r="D4670" t="s">
        <v>4690</v>
      </c>
      <c r="E4670" s="2"/>
      <c r="F4670" t="s">
        <v>66</v>
      </c>
      <c r="G4670" t="s">
        <v>370</v>
      </c>
      <c r="H4670" t="s">
        <v>332</v>
      </c>
      <c r="I4670"/>
    </row>
    <row r="4671" spans="1:9">
      <c r="A4671" t="s">
        <v>4655</v>
      </c>
      <c r="B4671" s="1" t="str">
        <f>"20032623"</f>
        <v>20032623</v>
      </c>
      <c r="C4671" t="s">
        <v>4687</v>
      </c>
      <c r="D4671" t="s">
        <v>4691</v>
      </c>
      <c r="E4671" s="2"/>
      <c r="F4671" t="s">
        <v>66</v>
      </c>
      <c r="G4671" t="s">
        <v>370</v>
      </c>
      <c r="H4671" t="s">
        <v>370</v>
      </c>
      <c r="I4671"/>
    </row>
    <row r="4672" spans="1:9">
      <c r="A4672" t="s">
        <v>4655</v>
      </c>
      <c r="B4672" s="1" t="str">
        <f>"20032623.2"</f>
        <v>20032623.2</v>
      </c>
      <c r="C4672" t="s">
        <v>4687</v>
      </c>
      <c r="D4672" t="s">
        <v>4691</v>
      </c>
      <c r="E4672" s="2"/>
      <c r="F4672" t="s">
        <v>66</v>
      </c>
      <c r="G4672" t="s">
        <v>370</v>
      </c>
      <c r="H4672" t="s">
        <v>332</v>
      </c>
      <c r="I4672"/>
    </row>
    <row r="4673" spans="1:9">
      <c r="A4673" t="s">
        <v>4655</v>
      </c>
      <c r="B4673" s="1" t="str">
        <f>"20035297"</f>
        <v>20035297</v>
      </c>
      <c r="C4673" t="s">
        <v>4692</v>
      </c>
      <c r="D4673" t="s">
        <v>4693</v>
      </c>
      <c r="E4673" s="2"/>
      <c r="F4673" t="s">
        <v>79</v>
      </c>
      <c r="G4673" t="s">
        <v>80</v>
      </c>
      <c r="H4673" t="s">
        <v>82</v>
      </c>
      <c r="I4673"/>
    </row>
    <row r="4674" spans="1:9">
      <c r="A4674" t="s">
        <v>4655</v>
      </c>
      <c r="B4674" s="1" t="str">
        <f>"20270933"</f>
        <v>20270933</v>
      </c>
      <c r="C4674" t="s">
        <v>4692</v>
      </c>
      <c r="D4674" t="s">
        <v>4694</v>
      </c>
      <c r="E4674" s="2"/>
      <c r="F4674" t="s">
        <v>4021</v>
      </c>
      <c r="G4674" t="s">
        <v>82</v>
      </c>
      <c r="H4674" t="s">
        <v>82</v>
      </c>
      <c r="I4674"/>
    </row>
    <row r="4675" spans="1:9">
      <c r="A4675" t="s">
        <v>4655</v>
      </c>
      <c r="B4675" s="1" t="str">
        <f>"20114344"</f>
        <v>20114344</v>
      </c>
      <c r="C4675" t="s">
        <v>4695</v>
      </c>
      <c r="D4675" t="s">
        <v>4696</v>
      </c>
      <c r="E4675" s="2"/>
      <c r="F4675" t="s">
        <v>336</v>
      </c>
      <c r="G4675" t="s">
        <v>29</v>
      </c>
      <c r="H4675" t="s">
        <v>29</v>
      </c>
      <c r="I4675"/>
    </row>
    <row r="4676" spans="1:9">
      <c r="A4676" t="s">
        <v>4655</v>
      </c>
      <c r="B4676" s="1" t="str">
        <f>"20114343"</f>
        <v>20114343</v>
      </c>
      <c r="C4676" t="s">
        <v>4695</v>
      </c>
      <c r="D4676" t="s">
        <v>4697</v>
      </c>
      <c r="E4676" s="2"/>
      <c r="F4676" t="s">
        <v>336</v>
      </c>
      <c r="G4676" t="s">
        <v>29</v>
      </c>
      <c r="H4676" t="s">
        <v>29</v>
      </c>
      <c r="I4676"/>
    </row>
    <row r="4677" spans="1:9">
      <c r="A4677" t="s">
        <v>4655</v>
      </c>
      <c r="B4677" s="1" t="str">
        <f>"20041199"</f>
        <v>20041199</v>
      </c>
      <c r="C4677" t="s">
        <v>4698</v>
      </c>
      <c r="D4677" t="s">
        <v>4699</v>
      </c>
      <c r="E4677" s="2"/>
      <c r="F4677" t="s">
        <v>4021</v>
      </c>
      <c r="G4677" t="s">
        <v>256</v>
      </c>
      <c r="H4677" t="s">
        <v>4000</v>
      </c>
      <c r="I4677"/>
    </row>
    <row r="4678" spans="1:9">
      <c r="A4678" t="s">
        <v>4700</v>
      </c>
      <c r="B4678" s="1" t="str">
        <f>"20379169"</f>
        <v>20379169</v>
      </c>
      <c r="C4678" t="s">
        <v>4580</v>
      </c>
      <c r="D4678" t="s">
        <v>4701</v>
      </c>
      <c r="E4678" s="2"/>
      <c r="F4678" t="s">
        <v>66</v>
      </c>
      <c r="G4678" t="s">
        <v>29</v>
      </c>
      <c r="H4678" t="s">
        <v>29</v>
      </c>
      <c r="I4678"/>
    </row>
    <row r="4679" spans="1:9">
      <c r="A4679" t="s">
        <v>4700</v>
      </c>
      <c r="B4679" s="1" t="str">
        <f>"20379169.2"</f>
        <v>20379169.2</v>
      </c>
      <c r="C4679" t="s">
        <v>4580</v>
      </c>
      <c r="D4679" t="s">
        <v>4701</v>
      </c>
      <c r="E4679" s="2"/>
      <c r="F4679" t="s">
        <v>66</v>
      </c>
      <c r="G4679" t="s">
        <v>29</v>
      </c>
      <c r="H4679" t="s">
        <v>332</v>
      </c>
      <c r="I4679"/>
    </row>
    <row r="4680" spans="1:9">
      <c r="A4680" t="s">
        <v>4700</v>
      </c>
      <c r="B4680" s="1" t="str">
        <f>"20172561"</f>
        <v>20172561</v>
      </c>
      <c r="C4680"/>
      <c r="D4680" t="s">
        <v>4702</v>
      </c>
      <c r="E4680" s="2"/>
      <c r="F4680" t="s">
        <v>336</v>
      </c>
      <c r="G4680" t="s">
        <v>25</v>
      </c>
      <c r="H4680" t="s">
        <v>25</v>
      </c>
      <c r="I4680"/>
    </row>
    <row r="4681" spans="1:9">
      <c r="A4681" t="s">
        <v>4700</v>
      </c>
      <c r="B4681" s="1" t="str">
        <f>"20172561.2"</f>
        <v>20172561.2</v>
      </c>
      <c r="C4681"/>
      <c r="D4681" t="s">
        <v>4702</v>
      </c>
      <c r="E4681" s="2"/>
      <c r="F4681" t="s">
        <v>336</v>
      </c>
      <c r="G4681" t="s">
        <v>25</v>
      </c>
      <c r="H4681" t="s">
        <v>332</v>
      </c>
      <c r="I4681"/>
    </row>
    <row r="4682" spans="1:9">
      <c r="A4682" t="s">
        <v>4700</v>
      </c>
      <c r="B4682" s="1" t="str">
        <f>"20172560.2"</f>
        <v>20172560.2</v>
      </c>
      <c r="C4682"/>
      <c r="D4682" t="s">
        <v>4703</v>
      </c>
      <c r="E4682" s="2"/>
      <c r="F4682" t="s">
        <v>336</v>
      </c>
      <c r="G4682" t="s">
        <v>25</v>
      </c>
      <c r="H4682" t="s">
        <v>332</v>
      </c>
      <c r="I4682"/>
    </row>
    <row r="4683" spans="1:9">
      <c r="A4683" t="s">
        <v>4700</v>
      </c>
      <c r="B4683" s="1" t="str">
        <f>"20172560"</f>
        <v>20172560</v>
      </c>
      <c r="C4683" t="s">
        <v>4704</v>
      </c>
      <c r="D4683" t="s">
        <v>4703</v>
      </c>
      <c r="E4683" s="2"/>
      <c r="F4683" t="s">
        <v>336</v>
      </c>
      <c r="G4683" t="s">
        <v>25</v>
      </c>
      <c r="H4683" t="s">
        <v>25</v>
      </c>
      <c r="I4683"/>
    </row>
    <row r="4684" spans="1:9">
      <c r="A4684" t="s">
        <v>4700</v>
      </c>
      <c r="B4684" s="1" t="str">
        <f>"20533632"</f>
        <v>20533632</v>
      </c>
      <c r="C4684" t="s">
        <v>4587</v>
      </c>
      <c r="D4684" t="s">
        <v>4705</v>
      </c>
      <c r="E4684" s="2"/>
      <c r="F4684" t="s">
        <v>12</v>
      </c>
      <c r="G4684" t="s">
        <v>29</v>
      </c>
      <c r="H4684" t="s">
        <v>29</v>
      </c>
      <c r="I4684"/>
    </row>
    <row r="4685" spans="1:9">
      <c r="A4685" t="s">
        <v>4700</v>
      </c>
      <c r="B4685" s="1" t="str">
        <f>"20833268"</f>
        <v>20833268</v>
      </c>
      <c r="C4685" t="s">
        <v>225</v>
      </c>
      <c r="D4685" t="s">
        <v>4706</v>
      </c>
      <c r="E4685" s="2"/>
      <c r="F4685" t="s">
        <v>1461</v>
      </c>
      <c r="G4685" t="s">
        <v>370</v>
      </c>
      <c r="H4685" t="s">
        <v>370</v>
      </c>
      <c r="I4685"/>
    </row>
    <row r="4686" spans="1:9">
      <c r="A4686" t="s">
        <v>4700</v>
      </c>
      <c r="B4686" s="1" t="str">
        <f>"20085285"</f>
        <v>20085285</v>
      </c>
      <c r="C4686" t="s">
        <v>4594</v>
      </c>
      <c r="D4686" t="s">
        <v>4707</v>
      </c>
      <c r="E4686" s="2"/>
      <c r="F4686" t="s">
        <v>66</v>
      </c>
      <c r="G4686" t="s">
        <v>337</v>
      </c>
      <c r="H4686" t="s">
        <v>337</v>
      </c>
      <c r="I4686"/>
    </row>
    <row r="4687" spans="1:9">
      <c r="A4687" t="s">
        <v>4700</v>
      </c>
      <c r="B4687" s="1" t="str">
        <f>"20085285.2"</f>
        <v>20085285.2</v>
      </c>
      <c r="C4687" t="s">
        <v>4594</v>
      </c>
      <c r="D4687" t="s">
        <v>4707</v>
      </c>
      <c r="E4687" s="2"/>
      <c r="F4687" t="s">
        <v>66</v>
      </c>
      <c r="G4687" t="s">
        <v>337</v>
      </c>
      <c r="H4687" t="s">
        <v>332</v>
      </c>
      <c r="I4687"/>
    </row>
    <row r="4688" spans="1:9">
      <c r="A4688" t="s">
        <v>4700</v>
      </c>
      <c r="B4688" s="1" t="str">
        <f>"20104221"</f>
        <v>20104221</v>
      </c>
      <c r="C4688" t="s">
        <v>4598</v>
      </c>
      <c r="D4688" t="s">
        <v>4708</v>
      </c>
      <c r="E4688" s="2"/>
      <c r="F4688" t="s">
        <v>66</v>
      </c>
      <c r="G4688" t="s">
        <v>337</v>
      </c>
      <c r="H4688" t="s">
        <v>337</v>
      </c>
      <c r="I4688"/>
    </row>
    <row r="4689" spans="1:9">
      <c r="A4689" t="s">
        <v>4700</v>
      </c>
      <c r="B4689" s="1" t="str">
        <f>"20104221.2"</f>
        <v>20104221.2</v>
      </c>
      <c r="C4689" t="s">
        <v>4598</v>
      </c>
      <c r="D4689" t="s">
        <v>4708</v>
      </c>
      <c r="E4689" s="2"/>
      <c r="F4689" t="s">
        <v>66</v>
      </c>
      <c r="G4689" t="s">
        <v>337</v>
      </c>
      <c r="H4689" t="s">
        <v>332</v>
      </c>
      <c r="I4689"/>
    </row>
    <row r="4690" spans="1:9">
      <c r="A4690" t="s">
        <v>4700</v>
      </c>
      <c r="B4690" s="1" t="str">
        <f>"20524739"</f>
        <v>20524739</v>
      </c>
      <c r="C4690" t="s">
        <v>4683</v>
      </c>
      <c r="D4690" t="s">
        <v>4709</v>
      </c>
      <c r="E4690" s="2"/>
      <c r="F4690" t="s">
        <v>66</v>
      </c>
      <c r="G4690" t="s">
        <v>25</v>
      </c>
      <c r="H4690" t="s">
        <v>25</v>
      </c>
      <c r="I4690"/>
    </row>
    <row r="4691" spans="1:9">
      <c r="A4691" t="s">
        <v>4700</v>
      </c>
      <c r="B4691" s="1" t="str">
        <f>"20524739.2"</f>
        <v>20524739.2</v>
      </c>
      <c r="C4691" t="s">
        <v>4683</v>
      </c>
      <c r="D4691" t="s">
        <v>4709</v>
      </c>
      <c r="E4691" s="2"/>
      <c r="F4691" t="s">
        <v>66</v>
      </c>
      <c r="G4691" t="s">
        <v>25</v>
      </c>
      <c r="H4691" t="s">
        <v>332</v>
      </c>
      <c r="I4691"/>
    </row>
    <row r="4692" spans="1:9">
      <c r="A4692" t="s">
        <v>4700</v>
      </c>
      <c r="B4692" s="1" t="str">
        <f>"20172559"</f>
        <v>20172559</v>
      </c>
      <c r="C4692" t="s">
        <v>4687</v>
      </c>
      <c r="D4692" t="s">
        <v>4710</v>
      </c>
      <c r="E4692" s="2"/>
      <c r="F4692" t="s">
        <v>336</v>
      </c>
      <c r="G4692" t="s">
        <v>25</v>
      </c>
      <c r="H4692" t="s">
        <v>25</v>
      </c>
      <c r="I4692"/>
    </row>
    <row r="4693" spans="1:9">
      <c r="A4693" t="s">
        <v>4700</v>
      </c>
      <c r="B4693" s="1" t="str">
        <f>"20172559.2"</f>
        <v>20172559.2</v>
      </c>
      <c r="C4693" t="s">
        <v>4687</v>
      </c>
      <c r="D4693" t="s">
        <v>4710</v>
      </c>
      <c r="E4693" s="2"/>
      <c r="F4693" t="s">
        <v>336</v>
      </c>
      <c r="G4693" t="s">
        <v>25</v>
      </c>
      <c r="H4693" t="s">
        <v>332</v>
      </c>
      <c r="I4693"/>
    </row>
    <row r="4694" spans="1:9">
      <c r="A4694" t="s">
        <v>4711</v>
      </c>
      <c r="B4694" s="1" t="str">
        <f>"26441982"</f>
        <v>26441982</v>
      </c>
      <c r="C4694" t="s">
        <v>260</v>
      </c>
      <c r="D4694" t="s">
        <v>4712</v>
      </c>
      <c r="E4694" s="2"/>
      <c r="F4694"/>
      <c r="G4694" t="s">
        <v>177</v>
      </c>
      <c r="H4694" t="s">
        <v>177</v>
      </c>
      <c r="I4694"/>
    </row>
    <row r="4695" spans="1:9">
      <c r="A4695" t="s">
        <v>4711</v>
      </c>
      <c r="B4695" s="1" t="str">
        <f>"26441983"</f>
        <v>26441983</v>
      </c>
      <c r="C4695" t="s">
        <v>260</v>
      </c>
      <c r="D4695" t="s">
        <v>4713</v>
      </c>
      <c r="E4695" s="2"/>
      <c r="F4695"/>
      <c r="G4695" t="s">
        <v>299</v>
      </c>
      <c r="H4695" t="s">
        <v>299</v>
      </c>
      <c r="I4695"/>
    </row>
    <row r="4696" spans="1:9">
      <c r="A4696" t="s">
        <v>4711</v>
      </c>
      <c r="B4696" s="1" t="str">
        <f>"20012021"</f>
        <v>20012021</v>
      </c>
      <c r="C4696" t="s">
        <v>4714</v>
      </c>
      <c r="D4696" t="s">
        <v>4715</v>
      </c>
      <c r="E4696" s="2"/>
      <c r="F4696"/>
      <c r="G4696" t="s">
        <v>623</v>
      </c>
      <c r="H4696" t="s">
        <v>623</v>
      </c>
      <c r="I4696"/>
    </row>
    <row r="4697" spans="1:9">
      <c r="A4697" t="s">
        <v>4711</v>
      </c>
      <c r="B4697" s="1" t="str">
        <f>"20012021.2"</f>
        <v>20012021.2</v>
      </c>
      <c r="C4697" t="s">
        <v>4714</v>
      </c>
      <c r="D4697" t="s">
        <v>4715</v>
      </c>
      <c r="E4697" s="2"/>
      <c r="F4697"/>
      <c r="G4697" t="s">
        <v>623</v>
      </c>
      <c r="H4697" t="s">
        <v>218</v>
      </c>
      <c r="I4697"/>
    </row>
    <row r="4698" spans="1:9">
      <c r="A4698" t="s">
        <v>4711</v>
      </c>
      <c r="B4698" s="1" t="str">
        <f>"20858292"</f>
        <v>20858292</v>
      </c>
      <c r="C4698" t="s">
        <v>2481</v>
      </c>
      <c r="D4698" t="s">
        <v>4716</v>
      </c>
      <c r="E4698" s="2"/>
      <c r="F4698"/>
      <c r="G4698" t="s">
        <v>227</v>
      </c>
      <c r="H4698" t="s">
        <v>227</v>
      </c>
      <c r="I4698"/>
    </row>
    <row r="4699" spans="1:9">
      <c r="A4699" t="s">
        <v>4711</v>
      </c>
      <c r="B4699" s="1" t="str">
        <f>"20299408"</f>
        <v>20299408</v>
      </c>
      <c r="C4699" t="s">
        <v>225</v>
      </c>
      <c r="D4699" t="s">
        <v>4717</v>
      </c>
      <c r="E4699" s="2"/>
      <c r="F4699"/>
      <c r="G4699" t="s">
        <v>82</v>
      </c>
      <c r="H4699" t="s">
        <v>13</v>
      </c>
      <c r="I4699"/>
    </row>
    <row r="4700" spans="1:9">
      <c r="A4700" t="s">
        <v>4711</v>
      </c>
      <c r="B4700" s="1" t="str">
        <f>"20175702"</f>
        <v>20175702</v>
      </c>
      <c r="C4700" t="s">
        <v>225</v>
      </c>
      <c r="D4700" t="s">
        <v>4718</v>
      </c>
      <c r="E4700" s="2"/>
      <c r="F4700"/>
      <c r="G4700" t="s">
        <v>795</v>
      </c>
      <c r="H4700" t="s">
        <v>795</v>
      </c>
      <c r="I4700"/>
    </row>
    <row r="4701" spans="1:9">
      <c r="A4701" t="s">
        <v>4711</v>
      </c>
      <c r="B4701" s="1" t="str">
        <f>"29071631"</f>
        <v>29071631</v>
      </c>
      <c r="C4701" t="s">
        <v>225</v>
      </c>
      <c r="D4701" t="s">
        <v>4719</v>
      </c>
      <c r="E4701" s="2"/>
      <c r="F4701"/>
      <c r="G4701" t="s">
        <v>13</v>
      </c>
      <c r="H4701" t="s">
        <v>13</v>
      </c>
      <c r="I4701"/>
    </row>
    <row r="4702" spans="1:9">
      <c r="A4702" t="s">
        <v>4711</v>
      </c>
      <c r="B4702" s="1" t="str">
        <f>"20076368"</f>
        <v>20076368</v>
      </c>
      <c r="C4702" t="s">
        <v>225</v>
      </c>
      <c r="D4702" t="s">
        <v>4720</v>
      </c>
      <c r="E4702" s="2"/>
      <c r="F4702"/>
      <c r="G4702" t="s">
        <v>177</v>
      </c>
      <c r="H4702" t="s">
        <v>299</v>
      </c>
      <c r="I4702"/>
    </row>
    <row r="4703" spans="1:9">
      <c r="A4703" t="s">
        <v>4711</v>
      </c>
      <c r="B4703" s="1" t="str">
        <f>"20188498"</f>
        <v>20188498</v>
      </c>
      <c r="C4703" t="s">
        <v>225</v>
      </c>
      <c r="D4703" t="s">
        <v>4721</v>
      </c>
      <c r="E4703" s="2"/>
      <c r="F4703"/>
      <c r="G4703" t="s">
        <v>2215</v>
      </c>
      <c r="H4703" t="s">
        <v>2215</v>
      </c>
      <c r="I4703"/>
    </row>
    <row r="4704" spans="1:9">
      <c r="A4704" t="s">
        <v>4711</v>
      </c>
      <c r="B4704" s="1" t="str">
        <f>"26546549"</f>
        <v>26546549</v>
      </c>
      <c r="C4704" t="s">
        <v>225</v>
      </c>
      <c r="D4704" t="s">
        <v>4722</v>
      </c>
      <c r="E4704" s="2"/>
      <c r="F4704"/>
      <c r="G4704" t="s">
        <v>227</v>
      </c>
      <c r="H4704" t="s">
        <v>227</v>
      </c>
      <c r="I4704"/>
    </row>
    <row r="4705" spans="1:9">
      <c r="A4705" t="s">
        <v>4711</v>
      </c>
      <c r="B4705" s="1" t="str">
        <f>"20858322"</f>
        <v>20858322</v>
      </c>
      <c r="C4705" t="s">
        <v>4723</v>
      </c>
      <c r="D4705" t="s">
        <v>4724</v>
      </c>
      <c r="E4705" s="2"/>
      <c r="F4705"/>
      <c r="G4705" t="s">
        <v>299</v>
      </c>
      <c r="H4705" t="s">
        <v>299</v>
      </c>
      <c r="I4705"/>
    </row>
    <row r="4706" spans="1:9">
      <c r="A4706" t="s">
        <v>4711</v>
      </c>
      <c r="B4706" s="1" t="str">
        <f>"20858322.2"</f>
        <v>20858322.2</v>
      </c>
      <c r="C4706" t="s">
        <v>4723</v>
      </c>
      <c r="D4706" t="s">
        <v>4724</v>
      </c>
      <c r="E4706" s="2"/>
      <c r="F4706"/>
      <c r="G4706" t="s">
        <v>299</v>
      </c>
      <c r="H4706" t="s">
        <v>218</v>
      </c>
      <c r="I4706"/>
    </row>
    <row r="4707" spans="1:9">
      <c r="A4707" t="s">
        <v>4711</v>
      </c>
      <c r="B4707" s="1" t="str">
        <f>"20259013"</f>
        <v>20259013</v>
      </c>
      <c r="C4707" t="s">
        <v>4725</v>
      </c>
      <c r="D4707" t="s">
        <v>4726</v>
      </c>
      <c r="E4707" s="2"/>
      <c r="F4707"/>
      <c r="G4707" t="s">
        <v>262</v>
      </c>
      <c r="H4707" t="s">
        <v>262</v>
      </c>
      <c r="I4707"/>
    </row>
    <row r="4708" spans="1:9">
      <c r="A4708" t="s">
        <v>4711</v>
      </c>
      <c r="B4708" s="1" t="str">
        <f>"20259013.2"</f>
        <v>20259013.2</v>
      </c>
      <c r="C4708" t="s">
        <v>4725</v>
      </c>
      <c r="D4708" t="s">
        <v>4726</v>
      </c>
      <c r="E4708" s="2"/>
      <c r="F4708"/>
      <c r="G4708" t="s">
        <v>262</v>
      </c>
      <c r="H4708" t="s">
        <v>517</v>
      </c>
      <c r="I4708"/>
    </row>
    <row r="4709" spans="1:9">
      <c r="A4709" t="s">
        <v>4711</v>
      </c>
      <c r="B4709" s="1" t="str">
        <f>"20170042"</f>
        <v>20170042</v>
      </c>
      <c r="C4709" t="s">
        <v>4725</v>
      </c>
      <c r="D4709" t="s">
        <v>4727</v>
      </c>
      <c r="E4709" s="2"/>
      <c r="F4709"/>
      <c r="G4709" t="s">
        <v>80</v>
      </c>
      <c r="H4709" t="s">
        <v>80</v>
      </c>
      <c r="I4709"/>
    </row>
    <row r="4710" spans="1:9">
      <c r="A4710" t="s">
        <v>4711</v>
      </c>
      <c r="B4710" s="1" t="str">
        <f>"20170042.2"</f>
        <v>20170042.2</v>
      </c>
      <c r="C4710" t="s">
        <v>4725</v>
      </c>
      <c r="D4710" t="s">
        <v>4728</v>
      </c>
      <c r="E4710" s="2"/>
      <c r="F4710"/>
      <c r="G4710" t="s">
        <v>80</v>
      </c>
      <c r="H4710" t="s">
        <v>218</v>
      </c>
      <c r="I4710"/>
    </row>
    <row r="4711" spans="1:9">
      <c r="A4711" t="s">
        <v>4711</v>
      </c>
      <c r="B4711" s="1" t="str">
        <f>"20534875"</f>
        <v>20534875</v>
      </c>
      <c r="C4711" t="s">
        <v>4556</v>
      </c>
      <c r="D4711" t="s">
        <v>4729</v>
      </c>
      <c r="E4711" s="2"/>
      <c r="F4711"/>
      <c r="G4711" t="s">
        <v>80</v>
      </c>
      <c r="H4711" t="s">
        <v>80</v>
      </c>
      <c r="I4711"/>
    </row>
    <row r="4712" spans="1:9">
      <c r="A4712" t="s">
        <v>4711</v>
      </c>
      <c r="B4712" s="1" t="str">
        <f>"20018500"</f>
        <v>20018500</v>
      </c>
      <c r="C4712" t="s">
        <v>4005</v>
      </c>
      <c r="D4712" t="s">
        <v>4730</v>
      </c>
      <c r="E4712" s="2"/>
      <c r="F4712"/>
      <c r="G4712"/>
      <c r="H4712" t="s">
        <v>19</v>
      </c>
      <c r="I4712"/>
    </row>
    <row r="4713" spans="1:9">
      <c r="A4713" t="s">
        <v>4711</v>
      </c>
      <c r="B4713" s="1" t="str">
        <f>"20031701"</f>
        <v>20031701</v>
      </c>
      <c r="C4713" t="s">
        <v>4731</v>
      </c>
      <c r="D4713" t="s">
        <v>4732</v>
      </c>
      <c r="E4713" s="2"/>
      <c r="F4713"/>
      <c r="G4713" t="s">
        <v>177</v>
      </c>
      <c r="H4713" t="s">
        <v>177</v>
      </c>
      <c r="I4713"/>
    </row>
    <row r="4714" spans="1:9">
      <c r="A4714" t="s">
        <v>4711</v>
      </c>
      <c r="B4714" s="1" t="str">
        <f>"20031701.2"</f>
        <v>20031701.2</v>
      </c>
      <c r="C4714" t="s">
        <v>4731</v>
      </c>
      <c r="D4714" t="s">
        <v>4732</v>
      </c>
      <c r="E4714" s="2"/>
      <c r="F4714"/>
      <c r="G4714" t="s">
        <v>177</v>
      </c>
      <c r="H4714" t="s">
        <v>218</v>
      </c>
      <c r="I4714"/>
    </row>
    <row r="4715" spans="1:9">
      <c r="A4715" t="s">
        <v>4711</v>
      </c>
      <c r="B4715" s="1" t="str">
        <f>"20093112"</f>
        <v>20093112</v>
      </c>
      <c r="C4715" t="s">
        <v>4733</v>
      </c>
      <c r="D4715" t="s">
        <v>4720</v>
      </c>
      <c r="E4715" s="2"/>
      <c r="F4715"/>
      <c r="G4715" t="s">
        <v>177</v>
      </c>
      <c r="H4715" t="s">
        <v>177</v>
      </c>
      <c r="I4715"/>
    </row>
    <row r="4716" spans="1:9">
      <c r="A4716" t="s">
        <v>4711</v>
      </c>
      <c r="B4716" s="1" t="str">
        <f>"20202293"</f>
        <v>20202293</v>
      </c>
      <c r="C4716" t="s">
        <v>4733</v>
      </c>
      <c r="D4716" t="s">
        <v>4734</v>
      </c>
      <c r="E4716" s="2"/>
      <c r="F4716"/>
      <c r="G4716" t="s">
        <v>82</v>
      </c>
      <c r="H4716" t="s">
        <v>82</v>
      </c>
      <c r="I4716"/>
    </row>
    <row r="4717" spans="1:9">
      <c r="A4717" t="s">
        <v>4711</v>
      </c>
      <c r="B4717" s="1" t="str">
        <f>"20293680"</f>
        <v>20293680</v>
      </c>
      <c r="C4717" t="s">
        <v>4558</v>
      </c>
      <c r="D4717" t="s">
        <v>4735</v>
      </c>
      <c r="E4717" s="2"/>
      <c r="F4717"/>
      <c r="G4717" t="s">
        <v>148</v>
      </c>
      <c r="H4717" t="s">
        <v>148</v>
      </c>
      <c r="I4717"/>
    </row>
    <row r="4718" spans="1:9">
      <c r="A4718" t="s">
        <v>4711</v>
      </c>
      <c r="B4718" s="1" t="str">
        <f>"20853501"</f>
        <v>20853501</v>
      </c>
      <c r="C4718" t="s">
        <v>4558</v>
      </c>
      <c r="D4718" t="s">
        <v>4736</v>
      </c>
      <c r="E4718" s="2"/>
      <c r="F4718"/>
      <c r="G4718" t="s">
        <v>177</v>
      </c>
      <c r="H4718" t="s">
        <v>177</v>
      </c>
      <c r="I4718"/>
    </row>
    <row r="4719" spans="1:9">
      <c r="A4719" t="s">
        <v>4711</v>
      </c>
      <c r="B4719" s="1" t="str">
        <f>"20585662"</f>
        <v>20585662</v>
      </c>
      <c r="C4719" t="s">
        <v>4558</v>
      </c>
      <c r="D4719" t="s">
        <v>4737</v>
      </c>
      <c r="E4719" s="2"/>
      <c r="F4719"/>
      <c r="G4719" t="s">
        <v>82</v>
      </c>
      <c r="H4719" t="s">
        <v>82</v>
      </c>
      <c r="I4719"/>
    </row>
    <row r="4720" spans="1:9">
      <c r="A4720" t="s">
        <v>4711</v>
      </c>
      <c r="B4720" s="1" t="str">
        <f>"20530365"</f>
        <v>20530365</v>
      </c>
      <c r="C4720" t="s">
        <v>4558</v>
      </c>
      <c r="D4720" t="s">
        <v>4738</v>
      </c>
      <c r="E4720" s="2"/>
      <c r="F4720"/>
      <c r="G4720" t="s">
        <v>148</v>
      </c>
      <c r="H4720" t="s">
        <v>148</v>
      </c>
      <c r="I4720"/>
    </row>
    <row r="4721" spans="1:9">
      <c r="A4721" t="s">
        <v>4711</v>
      </c>
      <c r="B4721" s="1" t="str">
        <f>"20221776"</f>
        <v>20221776</v>
      </c>
      <c r="C4721" t="s">
        <v>4558</v>
      </c>
      <c r="D4721" t="s">
        <v>4739</v>
      </c>
      <c r="E4721" s="2"/>
      <c r="F4721"/>
      <c r="G4721" t="s">
        <v>80</v>
      </c>
      <c r="H4721" t="s">
        <v>80</v>
      </c>
      <c r="I4721"/>
    </row>
    <row r="4722" spans="1:9">
      <c r="A4722" t="s">
        <v>4711</v>
      </c>
      <c r="B4722" s="1" t="str">
        <f>"20221775"</f>
        <v>20221775</v>
      </c>
      <c r="C4722" t="s">
        <v>4558</v>
      </c>
      <c r="D4722" t="s">
        <v>4740</v>
      </c>
      <c r="E4722" s="2"/>
      <c r="F4722"/>
      <c r="G4722" t="s">
        <v>80</v>
      </c>
      <c r="H4722" t="s">
        <v>80</v>
      </c>
      <c r="I4722"/>
    </row>
    <row r="4723" spans="1:9">
      <c r="A4723" t="s">
        <v>4741</v>
      </c>
      <c r="B4723" s="1" t="str">
        <f>"20186661"</f>
        <v>20186661</v>
      </c>
      <c r="C4723" t="s">
        <v>225</v>
      </c>
      <c r="D4723" t="s">
        <v>4742</v>
      </c>
      <c r="E4723" s="2"/>
      <c r="F4723"/>
      <c r="G4723" t="s">
        <v>4743</v>
      </c>
      <c r="H4723" t="s">
        <v>4743</v>
      </c>
      <c r="I4723"/>
    </row>
    <row r="4724" spans="1:9">
      <c r="A4724" t="s">
        <v>4741</v>
      </c>
      <c r="B4724" s="1" t="str">
        <f>"20171742"</f>
        <v>20171742</v>
      </c>
      <c r="C4724" t="s">
        <v>225</v>
      </c>
      <c r="D4724" t="s">
        <v>4744</v>
      </c>
      <c r="E4724" s="2"/>
      <c r="F4724"/>
      <c r="G4724" t="s">
        <v>679</v>
      </c>
      <c r="H4724" t="s">
        <v>679</v>
      </c>
      <c r="I4724"/>
    </row>
    <row r="4725" spans="1:9">
      <c r="A4725" t="s">
        <v>4741</v>
      </c>
      <c r="B4725" s="1" t="str">
        <f>"20148898"</f>
        <v>20148898</v>
      </c>
      <c r="C4725" t="s">
        <v>225</v>
      </c>
      <c r="D4725" t="s">
        <v>4745</v>
      </c>
      <c r="E4725" s="2"/>
      <c r="F4725"/>
      <c r="G4725" t="s">
        <v>679</v>
      </c>
      <c r="H4725" t="s">
        <v>679</v>
      </c>
      <c r="I4725"/>
    </row>
    <row r="4726" spans="1:9">
      <c r="A4726" t="s">
        <v>4741</v>
      </c>
      <c r="B4726" s="1" t="str">
        <f>"12148904"</f>
        <v>12148904</v>
      </c>
      <c r="C4726" t="s">
        <v>4460</v>
      </c>
      <c r="D4726" t="s">
        <v>4746</v>
      </c>
      <c r="E4726" s="2"/>
      <c r="F4726"/>
      <c r="G4726" t="s">
        <v>4747</v>
      </c>
      <c r="H4726" t="s">
        <v>4748</v>
      </c>
      <c r="I4726"/>
    </row>
    <row r="4727" spans="1:9">
      <c r="A4727" t="s">
        <v>4741</v>
      </c>
      <c r="B4727" s="1" t="str">
        <f>"12120781"</f>
        <v>12120781</v>
      </c>
      <c r="C4727" t="s">
        <v>4460</v>
      </c>
      <c r="D4727" t="s">
        <v>4749</v>
      </c>
      <c r="E4727" s="2"/>
      <c r="F4727"/>
      <c r="G4727" t="s">
        <v>4747</v>
      </c>
      <c r="H4727" t="s">
        <v>4748</v>
      </c>
      <c r="I4727"/>
    </row>
    <row r="4728" spans="1:9">
      <c r="A4728" t="s">
        <v>4750</v>
      </c>
      <c r="B4728" s="1" t="str">
        <f>"20148928"</f>
        <v>20148928</v>
      </c>
      <c r="C4728" t="s">
        <v>4751</v>
      </c>
      <c r="D4728" t="s">
        <v>4752</v>
      </c>
      <c r="E4728" s="2"/>
      <c r="F4728"/>
      <c r="G4728" t="s">
        <v>679</v>
      </c>
      <c r="H4728" t="s">
        <v>679</v>
      </c>
      <c r="I4728"/>
    </row>
    <row r="4729" spans="1:9">
      <c r="A4729" t="s">
        <v>4750</v>
      </c>
      <c r="B4729" s="1" t="str">
        <f>"20148928.2"</f>
        <v>20148928.2</v>
      </c>
      <c r="C4729" t="s">
        <v>4751</v>
      </c>
      <c r="D4729" t="s">
        <v>4752</v>
      </c>
      <c r="E4729" s="2"/>
      <c r="F4729"/>
      <c r="G4729" t="s">
        <v>4753</v>
      </c>
      <c r="H4729" t="s">
        <v>4748</v>
      </c>
      <c r="I4729"/>
    </row>
    <row r="4730" spans="1:9">
      <c r="A4730" t="s">
        <v>4750</v>
      </c>
      <c r="B4730" s="1" t="str">
        <f>"20181864"</f>
        <v>20181864</v>
      </c>
      <c r="C4730" t="s">
        <v>4751</v>
      </c>
      <c r="D4730" t="s">
        <v>4754</v>
      </c>
      <c r="E4730" s="2"/>
      <c r="F4730"/>
      <c r="G4730" t="s">
        <v>4753</v>
      </c>
      <c r="H4730" t="s">
        <v>4753</v>
      </c>
      <c r="I4730"/>
    </row>
    <row r="4731" spans="1:9">
      <c r="A4731" t="s">
        <v>4750</v>
      </c>
      <c r="B4731" s="1" t="str">
        <f>"20181864.2"</f>
        <v>20181864.2</v>
      </c>
      <c r="C4731" t="s">
        <v>4751</v>
      </c>
      <c r="D4731" t="s">
        <v>4754</v>
      </c>
      <c r="E4731" s="2"/>
      <c r="F4731"/>
      <c r="G4731" t="s">
        <v>4753</v>
      </c>
      <c r="H4731" t="s">
        <v>4748</v>
      </c>
      <c r="I4731"/>
    </row>
    <row r="4732" spans="1:9">
      <c r="A4732" t="s">
        <v>4750</v>
      </c>
      <c r="B4732" s="1" t="str">
        <f>"20187910"</f>
        <v>20187910</v>
      </c>
      <c r="C4732" t="s">
        <v>225</v>
      </c>
      <c r="D4732" t="s">
        <v>4755</v>
      </c>
      <c r="E4732" s="2"/>
      <c r="F4732"/>
      <c r="G4732" t="s">
        <v>679</v>
      </c>
      <c r="H4732" t="s">
        <v>679</v>
      </c>
      <c r="I4732"/>
    </row>
    <row r="4733" spans="1:9">
      <c r="A4733" t="s">
        <v>4750</v>
      </c>
      <c r="B4733" s="1" t="str">
        <f>"20148911"</f>
        <v>20148911</v>
      </c>
      <c r="C4733" t="s">
        <v>225</v>
      </c>
      <c r="D4733" t="s">
        <v>4756</v>
      </c>
      <c r="E4733" s="2"/>
      <c r="F4733"/>
      <c r="G4733" t="s">
        <v>632</v>
      </c>
      <c r="H4733" t="s">
        <v>632</v>
      </c>
      <c r="I4733"/>
    </row>
    <row r="4734" spans="1:9">
      <c r="A4734" t="s">
        <v>4750</v>
      </c>
      <c r="B4734" s="1" t="str">
        <f>"20186951"</f>
        <v>20186951</v>
      </c>
      <c r="C4734" t="s">
        <v>225</v>
      </c>
      <c r="D4734" t="s">
        <v>4757</v>
      </c>
      <c r="E4734" s="2"/>
      <c r="F4734"/>
      <c r="G4734" t="s">
        <v>679</v>
      </c>
      <c r="H4734" t="s">
        <v>679</v>
      </c>
      <c r="I4734"/>
    </row>
    <row r="4735" spans="1:9">
      <c r="A4735" t="s">
        <v>4750</v>
      </c>
      <c r="B4735" s="1" t="str">
        <f>"20181765"</f>
        <v>20181765</v>
      </c>
      <c r="C4735" t="s">
        <v>225</v>
      </c>
      <c r="D4735" t="s">
        <v>4758</v>
      </c>
      <c r="E4735" s="2"/>
      <c r="F4735"/>
      <c r="G4735" t="s">
        <v>4753</v>
      </c>
      <c r="H4735" t="s">
        <v>4759</v>
      </c>
      <c r="I4735"/>
    </row>
    <row r="4736" spans="1:9">
      <c r="A4736" t="s">
        <v>4750</v>
      </c>
      <c r="B4736" s="1" t="str">
        <f>"23106853"</f>
        <v>23106853</v>
      </c>
      <c r="C4736" t="s">
        <v>225</v>
      </c>
      <c r="D4736" t="s">
        <v>4760</v>
      </c>
      <c r="E4736" s="2"/>
      <c r="F4736"/>
      <c r="G4736" t="s">
        <v>243</v>
      </c>
      <c r="H4736" t="s">
        <v>243</v>
      </c>
      <c r="I4736"/>
    </row>
    <row r="4737" spans="1:9">
      <c r="A4737" t="s">
        <v>4750</v>
      </c>
      <c r="B4737" s="1" t="str">
        <f>"23107009"</f>
        <v>23107009</v>
      </c>
      <c r="C4737" t="s">
        <v>225</v>
      </c>
      <c r="D4737" t="s">
        <v>4761</v>
      </c>
      <c r="E4737" s="2"/>
      <c r="F4737"/>
      <c r="G4737" t="s">
        <v>243</v>
      </c>
      <c r="H4737" t="s">
        <v>243</v>
      </c>
      <c r="I4737"/>
    </row>
    <row r="4738" spans="1:9">
      <c r="A4738" t="s">
        <v>4750</v>
      </c>
      <c r="B4738" s="1" t="str">
        <f>"20534431"</f>
        <v>20534431</v>
      </c>
      <c r="C4738" t="s">
        <v>2519</v>
      </c>
      <c r="D4738" t="s">
        <v>4762</v>
      </c>
      <c r="E4738" s="2"/>
      <c r="F4738"/>
      <c r="G4738" t="s">
        <v>148</v>
      </c>
      <c r="H4738" t="s">
        <v>148</v>
      </c>
      <c r="I4738"/>
    </row>
    <row r="4739" spans="1:9">
      <c r="A4739" t="s">
        <v>4750</v>
      </c>
      <c r="B4739" s="1" t="str">
        <f>"20534431.2"</f>
        <v>20534431.2</v>
      </c>
      <c r="C4739" t="s">
        <v>2519</v>
      </c>
      <c r="D4739" t="s">
        <v>4762</v>
      </c>
      <c r="E4739" s="2"/>
      <c r="F4739"/>
      <c r="G4739" t="s">
        <v>148</v>
      </c>
      <c r="H4739" t="s">
        <v>218</v>
      </c>
      <c r="I4739"/>
    </row>
    <row r="4740" spans="1:9">
      <c r="A4740" t="s">
        <v>4750</v>
      </c>
      <c r="B4740" s="1" t="str">
        <f>"20254797"</f>
        <v>20254797</v>
      </c>
      <c r="C4740" t="s">
        <v>2519</v>
      </c>
      <c r="D4740" t="s">
        <v>4763</v>
      </c>
      <c r="E4740" s="2"/>
      <c r="F4740"/>
      <c r="G4740" t="s">
        <v>148</v>
      </c>
      <c r="H4740" t="s">
        <v>148</v>
      </c>
      <c r="I4740"/>
    </row>
    <row r="4741" spans="1:9">
      <c r="A4741" t="s">
        <v>4750</v>
      </c>
      <c r="B4741" s="1" t="str">
        <f>"20254797.2"</f>
        <v>20254797.2</v>
      </c>
      <c r="C4741" t="s">
        <v>2519</v>
      </c>
      <c r="D4741" t="s">
        <v>4763</v>
      </c>
      <c r="E4741" s="2"/>
      <c r="F4741"/>
      <c r="G4741" t="s">
        <v>148</v>
      </c>
      <c r="H4741" t="s">
        <v>218</v>
      </c>
      <c r="I4741"/>
    </row>
    <row r="4742" spans="1:9">
      <c r="A4742" t="s">
        <v>4750</v>
      </c>
      <c r="B4742" s="1" t="str">
        <f>"20254902"</f>
        <v>20254902</v>
      </c>
      <c r="C4742" t="s">
        <v>2519</v>
      </c>
      <c r="D4742" t="s">
        <v>4764</v>
      </c>
      <c r="E4742" s="2"/>
      <c r="F4742"/>
      <c r="G4742" t="s">
        <v>243</v>
      </c>
      <c r="H4742" t="s">
        <v>243</v>
      </c>
      <c r="I4742"/>
    </row>
    <row r="4743" spans="1:9">
      <c r="A4743" t="s">
        <v>4750</v>
      </c>
      <c r="B4743" s="1" t="str">
        <f>"20254902.2"</f>
        <v>20254902.2</v>
      </c>
      <c r="C4743" t="s">
        <v>2519</v>
      </c>
      <c r="D4743" t="s">
        <v>4764</v>
      </c>
      <c r="E4743" s="2"/>
      <c r="F4743"/>
      <c r="G4743" t="s">
        <v>243</v>
      </c>
      <c r="H4743" t="s">
        <v>218</v>
      </c>
      <c r="I4743"/>
    </row>
    <row r="4744" spans="1:9">
      <c r="A4744" t="s">
        <v>4750</v>
      </c>
      <c r="B4744" s="1" t="str">
        <f>"20068936"</f>
        <v>20068936</v>
      </c>
      <c r="C4744" t="s">
        <v>2519</v>
      </c>
      <c r="D4744" t="s">
        <v>4765</v>
      </c>
      <c r="E4744" s="2"/>
      <c r="F4744"/>
      <c r="G4744" t="s">
        <v>243</v>
      </c>
      <c r="H4744" t="s">
        <v>243</v>
      </c>
      <c r="I4744"/>
    </row>
    <row r="4745" spans="1:9">
      <c r="A4745" t="s">
        <v>4750</v>
      </c>
      <c r="B4745" s="1" t="str">
        <f>"20068936.2"</f>
        <v>20068936.2</v>
      </c>
      <c r="C4745" t="s">
        <v>2519</v>
      </c>
      <c r="D4745" t="s">
        <v>4765</v>
      </c>
      <c r="E4745" s="2"/>
      <c r="F4745"/>
      <c r="G4745" t="s">
        <v>243</v>
      </c>
      <c r="H4745" t="s">
        <v>218</v>
      </c>
      <c r="I4745"/>
    </row>
    <row r="4746" spans="1:9">
      <c r="A4746" t="s">
        <v>4750</v>
      </c>
      <c r="B4746" s="1" t="str">
        <f>"20056513"</f>
        <v>20056513</v>
      </c>
      <c r="C4746" t="s">
        <v>2519</v>
      </c>
      <c r="D4746" t="s">
        <v>4766</v>
      </c>
      <c r="E4746" s="2"/>
      <c r="F4746"/>
      <c r="G4746" t="s">
        <v>299</v>
      </c>
      <c r="H4746" t="s">
        <v>299</v>
      </c>
      <c r="I4746"/>
    </row>
    <row r="4747" spans="1:9">
      <c r="A4747" t="s">
        <v>4750</v>
      </c>
      <c r="B4747" s="1" t="str">
        <f>"20056513.2"</f>
        <v>20056513.2</v>
      </c>
      <c r="C4747" t="s">
        <v>2519</v>
      </c>
      <c r="D4747" t="s">
        <v>4766</v>
      </c>
      <c r="E4747" s="2"/>
      <c r="F4747"/>
      <c r="G4747" t="s">
        <v>299</v>
      </c>
      <c r="H4747" t="s">
        <v>218</v>
      </c>
      <c r="I4747"/>
    </row>
    <row r="4748" spans="1:9">
      <c r="A4748" t="s">
        <v>4750</v>
      </c>
      <c r="B4748" s="1" t="str">
        <f>"12545918"</f>
        <v>12545918</v>
      </c>
      <c r="C4748" t="s">
        <v>4460</v>
      </c>
      <c r="D4748" t="s">
        <v>4767</v>
      </c>
      <c r="E4748" s="2"/>
      <c r="F4748"/>
      <c r="G4748" t="s">
        <v>4768</v>
      </c>
      <c r="H4748" t="s">
        <v>4748</v>
      </c>
      <c r="I4748"/>
    </row>
    <row r="4749" spans="1:9">
      <c r="A4749" t="s">
        <v>4750</v>
      </c>
      <c r="B4749" s="1" t="str">
        <f>"12140010"</f>
        <v>12140010</v>
      </c>
      <c r="C4749" t="s">
        <v>4460</v>
      </c>
      <c r="D4749" t="s">
        <v>4769</v>
      </c>
      <c r="E4749" s="2"/>
      <c r="F4749"/>
      <c r="G4749" t="s">
        <v>679</v>
      </c>
      <c r="H4749" t="s">
        <v>4748</v>
      </c>
      <c r="I4749"/>
    </row>
    <row r="4750" spans="1:9">
      <c r="A4750" t="s">
        <v>4750</v>
      </c>
      <c r="B4750" s="1" t="str">
        <f>"12035315"</f>
        <v>12035315</v>
      </c>
      <c r="C4750" t="s">
        <v>4460</v>
      </c>
      <c r="D4750" t="s">
        <v>4770</v>
      </c>
      <c r="E4750" s="2"/>
      <c r="F4750"/>
      <c r="G4750" t="s">
        <v>82</v>
      </c>
      <c r="H4750" t="s">
        <v>218</v>
      </c>
      <c r="I4750"/>
    </row>
    <row r="4751" spans="1:9">
      <c r="A4751" t="s">
        <v>4750</v>
      </c>
      <c r="B4751" s="1" t="str">
        <f>"12011038"</f>
        <v>12011038</v>
      </c>
      <c r="C4751" t="s">
        <v>4460</v>
      </c>
      <c r="D4751" t="s">
        <v>4771</v>
      </c>
      <c r="E4751" s="2"/>
      <c r="F4751"/>
      <c r="G4751" t="s">
        <v>287</v>
      </c>
      <c r="H4751" t="s">
        <v>218</v>
      </c>
      <c r="I4751"/>
    </row>
    <row r="4752" spans="1:9">
      <c r="A4752" t="s">
        <v>4750</v>
      </c>
      <c r="B4752" s="1" t="str">
        <f>"12019661"</f>
        <v>12019661</v>
      </c>
      <c r="C4752" t="s">
        <v>4460</v>
      </c>
      <c r="D4752" t="s">
        <v>4772</v>
      </c>
      <c r="E4752" s="2"/>
      <c r="F4752"/>
      <c r="G4752" t="s">
        <v>4768</v>
      </c>
      <c r="H4752" t="s">
        <v>4748</v>
      </c>
      <c r="I4752"/>
    </row>
    <row r="4753" spans="1:9">
      <c r="A4753" t="s">
        <v>4750</v>
      </c>
      <c r="B4753" s="1" t="str">
        <f>"12014110"</f>
        <v>12014110</v>
      </c>
      <c r="C4753" t="s">
        <v>4460</v>
      </c>
      <c r="D4753" t="s">
        <v>4773</v>
      </c>
      <c r="E4753" s="2"/>
      <c r="F4753"/>
      <c r="G4753" t="s">
        <v>227</v>
      </c>
      <c r="H4753" t="s">
        <v>218</v>
      </c>
      <c r="I4753"/>
    </row>
    <row r="4754" spans="1:9">
      <c r="A4754" t="s">
        <v>4750</v>
      </c>
      <c r="B4754" s="1" t="str">
        <f>"12019572"</f>
        <v>12019572</v>
      </c>
      <c r="C4754" t="s">
        <v>4460</v>
      </c>
      <c r="D4754" t="s">
        <v>4774</v>
      </c>
      <c r="E4754" s="2"/>
      <c r="F4754"/>
      <c r="G4754" t="s">
        <v>449</v>
      </c>
      <c r="H4754" t="s">
        <v>4775</v>
      </c>
      <c r="I4754"/>
    </row>
    <row r="4755" spans="1:9">
      <c r="A4755" t="s">
        <v>4750</v>
      </c>
      <c r="B4755" s="1" t="str">
        <f>"12014179"</f>
        <v>12014179</v>
      </c>
      <c r="C4755" t="s">
        <v>4460</v>
      </c>
      <c r="D4755" t="s">
        <v>4776</v>
      </c>
      <c r="E4755" s="2"/>
      <c r="F4755"/>
      <c r="G4755" t="s">
        <v>419</v>
      </c>
      <c r="H4755" t="s">
        <v>4775</v>
      </c>
      <c r="I4755"/>
    </row>
    <row r="4756" spans="1:9">
      <c r="A4756" t="s">
        <v>4750</v>
      </c>
      <c r="B4756" s="1" t="str">
        <f>"12014157"</f>
        <v>12014157</v>
      </c>
      <c r="C4756" t="s">
        <v>4460</v>
      </c>
      <c r="D4756" t="s">
        <v>4777</v>
      </c>
      <c r="E4756" s="2"/>
      <c r="F4756"/>
      <c r="G4756" t="s">
        <v>419</v>
      </c>
      <c r="H4756" t="s">
        <v>4775</v>
      </c>
      <c r="I4756"/>
    </row>
    <row r="4757" spans="1:9">
      <c r="A4757" t="s">
        <v>4750</v>
      </c>
      <c r="B4757" s="1" t="str">
        <f>"12014160"</f>
        <v>12014160</v>
      </c>
      <c r="C4757" t="s">
        <v>4460</v>
      </c>
      <c r="D4757" t="s">
        <v>4778</v>
      </c>
      <c r="E4757" s="2"/>
      <c r="F4757"/>
      <c r="G4757" t="s">
        <v>419</v>
      </c>
      <c r="H4757" t="s">
        <v>4775</v>
      </c>
      <c r="I4757"/>
    </row>
    <row r="4758" spans="1:9">
      <c r="A4758" t="s">
        <v>4750</v>
      </c>
      <c r="B4758" s="1" t="str">
        <f>"12014158"</f>
        <v>12014158</v>
      </c>
      <c r="C4758" t="s">
        <v>4460</v>
      </c>
      <c r="D4758" t="s">
        <v>4779</v>
      </c>
      <c r="E4758" s="2"/>
      <c r="F4758"/>
      <c r="G4758" t="s">
        <v>419</v>
      </c>
      <c r="H4758" t="s">
        <v>4775</v>
      </c>
      <c r="I4758"/>
    </row>
    <row r="4759" spans="1:9">
      <c r="A4759" t="s">
        <v>4750</v>
      </c>
      <c r="B4759" s="1" t="str">
        <f>"12014161"</f>
        <v>12014161</v>
      </c>
      <c r="C4759" t="s">
        <v>4460</v>
      </c>
      <c r="D4759" t="s">
        <v>4780</v>
      </c>
      <c r="E4759" s="2"/>
      <c r="F4759"/>
      <c r="G4759" t="s">
        <v>419</v>
      </c>
      <c r="H4759" t="s">
        <v>4775</v>
      </c>
      <c r="I4759"/>
    </row>
    <row r="4760" spans="1:9">
      <c r="A4760" t="s">
        <v>4750</v>
      </c>
      <c r="B4760" s="1" t="str">
        <f>"12014159"</f>
        <v>12014159</v>
      </c>
      <c r="C4760" t="s">
        <v>4460</v>
      </c>
      <c r="D4760" t="s">
        <v>4781</v>
      </c>
      <c r="E4760" s="2"/>
      <c r="F4760"/>
      <c r="G4760" t="s">
        <v>419</v>
      </c>
      <c r="H4760" t="s">
        <v>4775</v>
      </c>
      <c r="I4760"/>
    </row>
    <row r="4761" spans="1:9">
      <c r="A4761" t="s">
        <v>4750</v>
      </c>
      <c r="B4761" s="1" t="str">
        <f>"12014165"</f>
        <v>12014165</v>
      </c>
      <c r="C4761" t="s">
        <v>4460</v>
      </c>
      <c r="D4761" t="s">
        <v>4782</v>
      </c>
      <c r="E4761" s="2"/>
      <c r="F4761"/>
      <c r="G4761" t="s">
        <v>4783</v>
      </c>
      <c r="H4761" t="s">
        <v>4775</v>
      </c>
      <c r="I4761"/>
    </row>
    <row r="4762" spans="1:9">
      <c r="A4762" t="s">
        <v>4750</v>
      </c>
      <c r="B4762" s="1" t="str">
        <f>"20102814"</f>
        <v>20102814</v>
      </c>
      <c r="C4762" t="s">
        <v>4784</v>
      </c>
      <c r="D4762" t="s">
        <v>4785</v>
      </c>
      <c r="E4762" s="2"/>
      <c r="F4762"/>
      <c r="G4762" t="s">
        <v>4753</v>
      </c>
      <c r="H4762" t="s">
        <v>4753</v>
      </c>
      <c r="I4762"/>
    </row>
    <row r="4763" spans="1:9">
      <c r="A4763" t="s">
        <v>4750</v>
      </c>
      <c r="B4763" s="1" t="str">
        <f>"20102814.2"</f>
        <v>20102814.2</v>
      </c>
      <c r="C4763" t="s">
        <v>4784</v>
      </c>
      <c r="D4763" t="s">
        <v>4785</v>
      </c>
      <c r="E4763" s="2"/>
      <c r="F4763"/>
      <c r="G4763" t="s">
        <v>4753</v>
      </c>
      <c r="H4763" t="s">
        <v>4748</v>
      </c>
      <c r="I4763"/>
    </row>
    <row r="4764" spans="1:9">
      <c r="A4764" t="s">
        <v>4750</v>
      </c>
      <c r="B4764" s="1" t="str">
        <f>"20087920"</f>
        <v>20087920</v>
      </c>
      <c r="C4764" t="s">
        <v>4784</v>
      </c>
      <c r="D4764" t="s">
        <v>4786</v>
      </c>
      <c r="E4764" s="2"/>
      <c r="F4764"/>
      <c r="G4764" t="s">
        <v>232</v>
      </c>
      <c r="H4764" t="s">
        <v>232</v>
      </c>
      <c r="I4764"/>
    </row>
    <row r="4765" spans="1:9">
      <c r="A4765" t="s">
        <v>4750</v>
      </c>
      <c r="B4765" s="1" t="str">
        <f>"20087920.2"</f>
        <v>20087920.2</v>
      </c>
      <c r="C4765" t="s">
        <v>4784</v>
      </c>
      <c r="D4765" t="s">
        <v>4786</v>
      </c>
      <c r="E4765" s="2"/>
      <c r="F4765"/>
      <c r="G4765" t="s">
        <v>232</v>
      </c>
      <c r="H4765" t="s">
        <v>218</v>
      </c>
      <c r="I4765"/>
    </row>
    <row r="4766" spans="1:9">
      <c r="A4766" t="s">
        <v>4750</v>
      </c>
      <c r="B4766" s="1" t="str">
        <f>"20078539"</f>
        <v>20078539</v>
      </c>
      <c r="C4766" t="s">
        <v>4784</v>
      </c>
      <c r="D4766" t="s">
        <v>4787</v>
      </c>
      <c r="E4766" s="2"/>
      <c r="F4766"/>
      <c r="G4766" t="s">
        <v>148</v>
      </c>
      <c r="H4766" t="s">
        <v>148</v>
      </c>
      <c r="I4766"/>
    </row>
    <row r="4767" spans="1:9">
      <c r="A4767" t="s">
        <v>4750</v>
      </c>
      <c r="B4767" s="1" t="str">
        <f>"20078539.2"</f>
        <v>20078539.2</v>
      </c>
      <c r="C4767" t="s">
        <v>4784</v>
      </c>
      <c r="D4767" t="s">
        <v>4787</v>
      </c>
      <c r="E4767" s="2"/>
      <c r="F4767"/>
      <c r="G4767" t="s">
        <v>148</v>
      </c>
      <c r="H4767" t="s">
        <v>218</v>
      </c>
      <c r="I4767"/>
    </row>
    <row r="4768" spans="1:9">
      <c r="A4768" t="s">
        <v>4750</v>
      </c>
      <c r="B4768" s="1" t="str">
        <f>"20021207"</f>
        <v>20021207</v>
      </c>
      <c r="C4768" t="s">
        <v>4784</v>
      </c>
      <c r="D4768" t="s">
        <v>4788</v>
      </c>
      <c r="E4768" s="2"/>
      <c r="F4768"/>
      <c r="G4768" t="s">
        <v>4789</v>
      </c>
      <c r="H4768" t="s">
        <v>4789</v>
      </c>
      <c r="I4768"/>
    </row>
    <row r="4769" spans="1:9">
      <c r="A4769" t="s">
        <v>4750</v>
      </c>
      <c r="B4769" s="1" t="str">
        <f>"20021207.2"</f>
        <v>20021207.2</v>
      </c>
      <c r="C4769" t="s">
        <v>4784</v>
      </c>
      <c r="D4769" t="s">
        <v>4788</v>
      </c>
      <c r="E4769" s="2"/>
      <c r="F4769"/>
      <c r="G4769" t="s">
        <v>4789</v>
      </c>
      <c r="H4769" t="s">
        <v>4748</v>
      </c>
      <c r="I4769"/>
    </row>
    <row r="4770" spans="1:9">
      <c r="A4770" t="s">
        <v>4750</v>
      </c>
      <c r="B4770" s="1" t="str">
        <f>"20014810"</f>
        <v>20014810</v>
      </c>
      <c r="C4770" t="s">
        <v>4784</v>
      </c>
      <c r="D4770" t="s">
        <v>4790</v>
      </c>
      <c r="E4770" s="2"/>
      <c r="F4770"/>
      <c r="G4770" t="s">
        <v>4791</v>
      </c>
      <c r="H4770" t="s">
        <v>4791</v>
      </c>
      <c r="I4770"/>
    </row>
    <row r="4771" spans="1:9">
      <c r="A4771" t="s">
        <v>4750</v>
      </c>
      <c r="B4771" s="1" t="str">
        <f>"20014810.2"</f>
        <v>20014810.2</v>
      </c>
      <c r="C4771" t="s">
        <v>4784</v>
      </c>
      <c r="D4771" t="s">
        <v>4790</v>
      </c>
      <c r="E4771" s="2"/>
      <c r="F4771"/>
      <c r="G4771" t="s">
        <v>4791</v>
      </c>
      <c r="H4771" t="s">
        <v>4748</v>
      </c>
      <c r="I4771"/>
    </row>
    <row r="4772" spans="1:9">
      <c r="A4772" t="s">
        <v>4750</v>
      </c>
      <c r="B4772" s="1" t="str">
        <f>"20218621"</f>
        <v>20218621</v>
      </c>
      <c r="C4772" t="s">
        <v>4784</v>
      </c>
      <c r="D4772" t="s">
        <v>4792</v>
      </c>
      <c r="E4772" s="2"/>
      <c r="F4772"/>
      <c r="G4772" t="s">
        <v>299</v>
      </c>
      <c r="H4772" t="s">
        <v>299</v>
      </c>
      <c r="I4772"/>
    </row>
    <row r="4773" spans="1:9">
      <c r="A4773" t="s">
        <v>4750</v>
      </c>
      <c r="B4773" s="1" t="str">
        <f>"20218621.2"</f>
        <v>20218621.2</v>
      </c>
      <c r="C4773" t="s">
        <v>4784</v>
      </c>
      <c r="D4773" t="s">
        <v>4792</v>
      </c>
      <c r="E4773" s="2"/>
      <c r="F4773"/>
      <c r="G4773" t="s">
        <v>299</v>
      </c>
      <c r="H4773" t="s">
        <v>218</v>
      </c>
      <c r="I4773"/>
    </row>
    <row r="4774" spans="1:9">
      <c r="A4774" t="s">
        <v>4793</v>
      </c>
      <c r="B4774" s="1" t="str">
        <f>"20274696"</f>
        <v>20274696</v>
      </c>
      <c r="C4774" t="s">
        <v>260</v>
      </c>
      <c r="D4774" t="s">
        <v>4794</v>
      </c>
      <c r="E4774" s="2"/>
      <c r="F4774"/>
      <c r="G4774" t="s">
        <v>80</v>
      </c>
      <c r="H4774" t="s">
        <v>80</v>
      </c>
      <c r="I4774"/>
    </row>
    <row r="4775" spans="1:9">
      <c r="A4775" t="s">
        <v>4793</v>
      </c>
      <c r="B4775" s="1" t="str">
        <f>"20046156"</f>
        <v>20046156</v>
      </c>
      <c r="C4775" t="s">
        <v>209</v>
      </c>
      <c r="D4775" t="s">
        <v>4795</v>
      </c>
      <c r="E4775" s="2"/>
      <c r="F4775" t="s">
        <v>978</v>
      </c>
      <c r="G4775" t="s">
        <v>517</v>
      </c>
      <c r="H4775" t="s">
        <v>517</v>
      </c>
      <c r="I4775"/>
    </row>
    <row r="4776" spans="1:9">
      <c r="A4776" t="s">
        <v>4793</v>
      </c>
      <c r="B4776" s="1" t="str">
        <f>"20262815"</f>
        <v>20262815</v>
      </c>
      <c r="C4776" t="s">
        <v>209</v>
      </c>
      <c r="D4776" t="s">
        <v>4796</v>
      </c>
      <c r="E4776" s="2"/>
      <c r="F4776" t="s">
        <v>4797</v>
      </c>
      <c r="G4776" t="s">
        <v>175</v>
      </c>
      <c r="H4776" t="s">
        <v>175</v>
      </c>
      <c r="I4776"/>
    </row>
    <row r="4777" spans="1:9">
      <c r="A4777" t="s">
        <v>4793</v>
      </c>
      <c r="B4777" s="1" t="str">
        <f>"20077266"</f>
        <v>20077266</v>
      </c>
      <c r="C4777" t="s">
        <v>209</v>
      </c>
      <c r="D4777" t="s">
        <v>4798</v>
      </c>
      <c r="E4777" s="2"/>
      <c r="F4777"/>
      <c r="G4777" t="s">
        <v>940</v>
      </c>
      <c r="H4777" t="s">
        <v>940</v>
      </c>
      <c r="I4777"/>
    </row>
    <row r="4778" spans="1:9">
      <c r="A4778" t="s">
        <v>4793</v>
      </c>
      <c r="B4778" s="1" t="str">
        <f>"20043018"</f>
        <v>20043018</v>
      </c>
      <c r="C4778" t="s">
        <v>4799</v>
      </c>
      <c r="D4778" t="s">
        <v>4800</v>
      </c>
      <c r="E4778" s="2"/>
      <c r="F4778" t="s">
        <v>12</v>
      </c>
      <c r="G4778" t="s">
        <v>29</v>
      </c>
      <c r="H4778" t="s">
        <v>29</v>
      </c>
      <c r="I4778"/>
    </row>
    <row r="4779" spans="1:9">
      <c r="A4779" t="s">
        <v>4793</v>
      </c>
      <c r="B4779" s="1" t="str">
        <f>"20043018.2"</f>
        <v>20043018.2</v>
      </c>
      <c r="C4779" t="s">
        <v>4799</v>
      </c>
      <c r="D4779" t="s">
        <v>4800</v>
      </c>
      <c r="E4779" s="2"/>
      <c r="F4779" t="s">
        <v>12</v>
      </c>
      <c r="G4779" t="s">
        <v>29</v>
      </c>
      <c r="H4779" t="s">
        <v>332</v>
      </c>
      <c r="I4779"/>
    </row>
    <row r="4780" spans="1:9">
      <c r="A4780" t="s">
        <v>4801</v>
      </c>
      <c r="B4780" s="1" t="str">
        <f>"21427547"</f>
        <v>21427547</v>
      </c>
      <c r="C4780" t="s">
        <v>4802</v>
      </c>
      <c r="D4780" t="s">
        <v>4803</v>
      </c>
      <c r="E4780" s="2"/>
      <c r="F4780"/>
      <c r="G4780" t="s">
        <v>4052</v>
      </c>
      <c r="H4780" t="s">
        <v>4052</v>
      </c>
      <c r="I4780"/>
    </row>
    <row r="4781" spans="1:9">
      <c r="A4781" t="s">
        <v>4801</v>
      </c>
      <c r="B4781" s="1" t="str">
        <f>"21427547.2"</f>
        <v>21427547.2</v>
      </c>
      <c r="C4781" t="s">
        <v>4802</v>
      </c>
      <c r="D4781" t="s">
        <v>4803</v>
      </c>
      <c r="E4781" s="2"/>
      <c r="F4781"/>
      <c r="G4781" t="s">
        <v>4052</v>
      </c>
      <c r="H4781" t="s">
        <v>2539</v>
      </c>
      <c r="I4781"/>
    </row>
    <row r="4782" spans="1:9">
      <c r="A4782" t="s">
        <v>4801</v>
      </c>
      <c r="B4782" s="1" t="str">
        <f>"20110468"</f>
        <v>20110468</v>
      </c>
      <c r="C4782" t="s">
        <v>4802</v>
      </c>
      <c r="D4782" t="s">
        <v>4804</v>
      </c>
      <c r="E4782" s="2"/>
      <c r="F4782" t="s">
        <v>4023</v>
      </c>
      <c r="G4782" t="s">
        <v>29</v>
      </c>
      <c r="H4782" t="s">
        <v>29</v>
      </c>
      <c r="I4782"/>
    </row>
    <row r="4783" spans="1:9">
      <c r="A4783" t="s">
        <v>4801</v>
      </c>
      <c r="B4783" s="1" t="str">
        <f>"20110468.2"</f>
        <v>20110468.2</v>
      </c>
      <c r="C4783" t="s">
        <v>4802</v>
      </c>
      <c r="D4783" t="s">
        <v>4804</v>
      </c>
      <c r="E4783" s="2"/>
      <c r="F4783" t="s">
        <v>4023</v>
      </c>
      <c r="G4783" t="s">
        <v>29</v>
      </c>
      <c r="H4783" t="s">
        <v>332</v>
      </c>
      <c r="I4783"/>
    </row>
    <row r="4784" spans="1:9">
      <c r="A4784" t="s">
        <v>4801</v>
      </c>
      <c r="B4784" s="1" t="str">
        <f>"20084257"</f>
        <v>20084257</v>
      </c>
      <c r="C4784" t="s">
        <v>4802</v>
      </c>
      <c r="D4784" t="s">
        <v>4805</v>
      </c>
      <c r="E4784" s="2"/>
      <c r="F4784" t="s">
        <v>4023</v>
      </c>
      <c r="G4784" t="s">
        <v>4028</v>
      </c>
      <c r="H4784" t="s">
        <v>4024</v>
      </c>
      <c r="I4784"/>
    </row>
    <row r="4785" spans="1:9">
      <c r="A4785" t="s">
        <v>4801</v>
      </c>
      <c r="B4785" s="1" t="str">
        <f>"20084257.2"</f>
        <v>20084257.2</v>
      </c>
      <c r="C4785" t="s">
        <v>4802</v>
      </c>
      <c r="D4785" t="s">
        <v>4805</v>
      </c>
      <c r="E4785" s="2"/>
      <c r="F4785" t="s">
        <v>4023</v>
      </c>
      <c r="G4785" t="s">
        <v>4028</v>
      </c>
      <c r="H4785" t="s">
        <v>1453</v>
      </c>
      <c r="I4785"/>
    </row>
    <row r="4786" spans="1:9">
      <c r="A4786" t="s">
        <v>4801</v>
      </c>
      <c r="B4786" s="1" t="str">
        <f>"20084271"</f>
        <v>20084271</v>
      </c>
      <c r="C4786" t="s">
        <v>4802</v>
      </c>
      <c r="D4786" t="s">
        <v>4806</v>
      </c>
      <c r="E4786" s="2"/>
      <c r="F4786" t="s">
        <v>4023</v>
      </c>
      <c r="G4786" t="s">
        <v>4028</v>
      </c>
      <c r="H4786" t="s">
        <v>4024</v>
      </c>
      <c r="I4786"/>
    </row>
    <row r="4787" spans="1:9">
      <c r="A4787" t="s">
        <v>4801</v>
      </c>
      <c r="B4787" s="1" t="str">
        <f>"20084271.2"</f>
        <v>20084271.2</v>
      </c>
      <c r="C4787" t="s">
        <v>4802</v>
      </c>
      <c r="D4787" t="s">
        <v>4806</v>
      </c>
      <c r="E4787" s="2"/>
      <c r="F4787" t="s">
        <v>4023</v>
      </c>
      <c r="G4787" t="s">
        <v>4028</v>
      </c>
      <c r="H4787" t="s">
        <v>1453</v>
      </c>
      <c r="I4787"/>
    </row>
    <row r="4788" spans="1:9">
      <c r="A4788" t="s">
        <v>4801</v>
      </c>
      <c r="B4788" s="1" t="str">
        <f>"20078942"</f>
        <v>20078942</v>
      </c>
      <c r="C4788" t="s">
        <v>4802</v>
      </c>
      <c r="D4788" t="s">
        <v>4807</v>
      </c>
      <c r="E4788" s="2"/>
      <c r="F4788" t="s">
        <v>4023</v>
      </c>
      <c r="G4788" t="s">
        <v>952</v>
      </c>
      <c r="H4788" t="s">
        <v>952</v>
      </c>
      <c r="I4788"/>
    </row>
    <row r="4789" spans="1:9">
      <c r="A4789" t="s">
        <v>4801</v>
      </c>
      <c r="B4789" s="1" t="str">
        <f>"20078942.2"</f>
        <v>20078942.2</v>
      </c>
      <c r="C4789" t="s">
        <v>4802</v>
      </c>
      <c r="D4789" t="s">
        <v>4807</v>
      </c>
      <c r="E4789" s="2"/>
      <c r="F4789" t="s">
        <v>4023</v>
      </c>
      <c r="G4789" t="s">
        <v>952</v>
      </c>
      <c r="H4789" t="s">
        <v>383</v>
      </c>
      <c r="I4789"/>
    </row>
    <row r="4790" spans="1:9">
      <c r="A4790" t="s">
        <v>4801</v>
      </c>
      <c r="B4790" s="1" t="str">
        <f>"20084240"</f>
        <v>20084240</v>
      </c>
      <c r="C4790" t="s">
        <v>4802</v>
      </c>
      <c r="D4790" t="s">
        <v>4808</v>
      </c>
      <c r="E4790" s="2"/>
      <c r="F4790" t="s">
        <v>4023</v>
      </c>
      <c r="G4790" t="s">
        <v>4028</v>
      </c>
      <c r="H4790" t="s">
        <v>4028</v>
      </c>
      <c r="I4790"/>
    </row>
    <row r="4791" spans="1:9">
      <c r="A4791" t="s">
        <v>4801</v>
      </c>
      <c r="B4791" s="1" t="str">
        <f>"20084240.2"</f>
        <v>20084240.2</v>
      </c>
      <c r="C4791" t="s">
        <v>4802</v>
      </c>
      <c r="D4791" t="s">
        <v>4808</v>
      </c>
      <c r="E4791" s="2"/>
      <c r="F4791" t="s">
        <v>4023</v>
      </c>
      <c r="G4791" t="s">
        <v>4028</v>
      </c>
      <c r="H4791" t="s">
        <v>1453</v>
      </c>
      <c r="I4791"/>
    </row>
    <row r="4792" spans="1:9">
      <c r="A4792" t="s">
        <v>4809</v>
      </c>
      <c r="B4792" s="1" t="str">
        <f>"20257866"</f>
        <v>20257866</v>
      </c>
      <c r="C4792" t="s">
        <v>4810</v>
      </c>
      <c r="D4792" t="s">
        <v>4811</v>
      </c>
      <c r="E4792" s="2"/>
      <c r="F4792" t="s">
        <v>12</v>
      </c>
      <c r="G4792" t="s">
        <v>337</v>
      </c>
      <c r="H4792" t="s">
        <v>337</v>
      </c>
      <c r="I4792"/>
    </row>
    <row r="4793" spans="1:9">
      <c r="A4793" t="s">
        <v>4809</v>
      </c>
      <c r="B4793" s="1" t="str">
        <f>"20702217"</f>
        <v>20702217</v>
      </c>
      <c r="C4793" t="s">
        <v>4812</v>
      </c>
      <c r="D4793" t="s">
        <v>4813</v>
      </c>
      <c r="E4793" s="2"/>
      <c r="F4793"/>
      <c r="G4793" t="s">
        <v>4102</v>
      </c>
      <c r="H4793" t="s">
        <v>287</v>
      </c>
      <c r="I4793"/>
    </row>
    <row r="4794" spans="1:9">
      <c r="A4794" t="s">
        <v>4809</v>
      </c>
      <c r="B4794" s="1" t="str">
        <f>"20702216"</f>
        <v>20702216</v>
      </c>
      <c r="C4794" t="s">
        <v>4812</v>
      </c>
      <c r="D4794" t="s">
        <v>4814</v>
      </c>
      <c r="E4794" s="2"/>
      <c r="F4794"/>
      <c r="G4794" t="s">
        <v>4102</v>
      </c>
      <c r="H4794" t="s">
        <v>287</v>
      </c>
      <c r="I4794"/>
    </row>
    <row r="4795" spans="1:9">
      <c r="A4795" t="s">
        <v>4809</v>
      </c>
      <c r="B4795" s="1" t="str">
        <f>"20328547"</f>
        <v>20328547</v>
      </c>
      <c r="C4795" t="s">
        <v>4812</v>
      </c>
      <c r="D4795" t="s">
        <v>4815</v>
      </c>
      <c r="E4795" s="2"/>
      <c r="F4795" t="s">
        <v>12</v>
      </c>
      <c r="G4795" t="s">
        <v>4816</v>
      </c>
      <c r="H4795" t="s">
        <v>4816</v>
      </c>
      <c r="I4795"/>
    </row>
    <row r="4796" spans="1:9">
      <c r="A4796" t="s">
        <v>4809</v>
      </c>
      <c r="B4796" s="1" t="str">
        <f>"20702221"</f>
        <v>20702221</v>
      </c>
      <c r="C4796" t="s">
        <v>4812</v>
      </c>
      <c r="D4796" t="s">
        <v>4817</v>
      </c>
      <c r="E4796" s="2"/>
      <c r="F4796" t="s">
        <v>4818</v>
      </c>
      <c r="G4796" t="s">
        <v>4819</v>
      </c>
      <c r="H4796" t="s">
        <v>2414</v>
      </c>
      <c r="I4796"/>
    </row>
    <row r="4797" spans="1:9">
      <c r="A4797" t="s">
        <v>4809</v>
      </c>
      <c r="B4797" s="1" t="str">
        <f>"20519025"</f>
        <v>20519025</v>
      </c>
      <c r="C4797" t="s">
        <v>4812</v>
      </c>
      <c r="D4797" t="s">
        <v>4820</v>
      </c>
      <c r="E4797" s="2"/>
      <c r="F4797" t="s">
        <v>4651</v>
      </c>
      <c r="G4797" t="s">
        <v>287</v>
      </c>
      <c r="H4797" t="s">
        <v>287</v>
      </c>
      <c r="I4797"/>
    </row>
    <row r="4798" spans="1:9">
      <c r="A4798" t="s">
        <v>4809</v>
      </c>
      <c r="B4798" s="1" t="str">
        <f>"20250115"</f>
        <v>20250115</v>
      </c>
      <c r="C4798" t="s">
        <v>4812</v>
      </c>
      <c r="D4798" t="s">
        <v>4821</v>
      </c>
      <c r="E4798" s="2"/>
      <c r="F4798" t="s">
        <v>4822</v>
      </c>
      <c r="G4798"/>
      <c r="H4798" t="s">
        <v>4823</v>
      </c>
      <c r="I4798"/>
    </row>
    <row r="4799" spans="1:9">
      <c r="A4799" t="s">
        <v>4809</v>
      </c>
      <c r="B4799" s="1" t="str">
        <f>"20702220"</f>
        <v>20702220</v>
      </c>
      <c r="C4799" t="s">
        <v>4812</v>
      </c>
      <c r="D4799" t="s">
        <v>4824</v>
      </c>
      <c r="E4799" s="2"/>
      <c r="F4799" t="s">
        <v>4825</v>
      </c>
      <c r="G4799" t="s">
        <v>2635</v>
      </c>
      <c r="H4799" t="s">
        <v>4117</v>
      </c>
      <c r="I4799"/>
    </row>
    <row r="4800" spans="1:9">
      <c r="A4800" t="s">
        <v>4809</v>
      </c>
      <c r="B4800" s="1" t="str">
        <f>"20250116"</f>
        <v>20250116</v>
      </c>
      <c r="C4800" t="s">
        <v>4812</v>
      </c>
      <c r="D4800" t="s">
        <v>4826</v>
      </c>
      <c r="E4800" s="2"/>
      <c r="F4800" t="s">
        <v>4822</v>
      </c>
      <c r="G4800"/>
      <c r="H4800" t="s">
        <v>3299</v>
      </c>
      <c r="I4800"/>
    </row>
    <row r="4801" spans="1:9">
      <c r="A4801" t="s">
        <v>4809</v>
      </c>
      <c r="B4801" s="1" t="str">
        <f>"20190024"</f>
        <v>20190024</v>
      </c>
      <c r="C4801" t="s">
        <v>4827</v>
      </c>
      <c r="D4801" t="s">
        <v>4828</v>
      </c>
      <c r="E4801" s="2"/>
      <c r="F4801" t="s">
        <v>4829</v>
      </c>
      <c r="G4801" t="s">
        <v>4830</v>
      </c>
      <c r="H4801" t="s">
        <v>4831</v>
      </c>
      <c r="I4801"/>
    </row>
    <row r="4802" spans="1:9">
      <c r="A4802" t="s">
        <v>4809</v>
      </c>
      <c r="B4802" s="1" t="str">
        <f>"20025441"</f>
        <v>20025441</v>
      </c>
      <c r="C4802" t="s">
        <v>4827</v>
      </c>
      <c r="D4802" t="s">
        <v>4832</v>
      </c>
      <c r="E4802" s="2"/>
      <c r="F4802" t="s">
        <v>4833</v>
      </c>
      <c r="G4802" t="s">
        <v>25</v>
      </c>
      <c r="H4802" t="s">
        <v>25</v>
      </c>
      <c r="I4802"/>
    </row>
    <row r="4803" spans="1:9">
      <c r="A4803" t="s">
        <v>4809</v>
      </c>
      <c r="B4803" s="1" t="str">
        <f>"20561499"</f>
        <v>20561499</v>
      </c>
      <c r="C4803" t="s">
        <v>4834</v>
      </c>
      <c r="D4803" t="s">
        <v>4835</v>
      </c>
      <c r="E4803" s="2"/>
      <c r="F4803" t="s">
        <v>4836</v>
      </c>
      <c r="G4803" t="s">
        <v>25</v>
      </c>
      <c r="H4803" t="s">
        <v>25</v>
      </c>
      <c r="I4803"/>
    </row>
    <row r="4804" spans="1:9">
      <c r="A4804" t="s">
        <v>4809</v>
      </c>
      <c r="B4804" s="1" t="str">
        <f>"20516291"</f>
        <v>20516291</v>
      </c>
      <c r="C4804" t="s">
        <v>4837</v>
      </c>
      <c r="D4804" t="s">
        <v>4838</v>
      </c>
      <c r="E4804" s="2"/>
      <c r="F4804" t="s">
        <v>22</v>
      </c>
      <c r="G4804" t="s">
        <v>29</v>
      </c>
      <c r="H4804" t="s">
        <v>29</v>
      </c>
      <c r="I4804"/>
    </row>
    <row r="4805" spans="1:9">
      <c r="A4805" t="s">
        <v>4809</v>
      </c>
      <c r="B4805" s="1" t="str">
        <f>"20516291.2"</f>
        <v>20516291.2</v>
      </c>
      <c r="C4805" t="s">
        <v>4837</v>
      </c>
      <c r="D4805" t="s">
        <v>4838</v>
      </c>
      <c r="E4805" s="2"/>
      <c r="F4805" t="s">
        <v>22</v>
      </c>
      <c r="G4805" t="s">
        <v>29</v>
      </c>
      <c r="H4805" t="s">
        <v>332</v>
      </c>
      <c r="I4805"/>
    </row>
    <row r="4806" spans="1:9">
      <c r="A4806" t="s">
        <v>4809</v>
      </c>
      <c r="B4806" s="1" t="str">
        <f>"24073215"</f>
        <v>24073215</v>
      </c>
      <c r="C4806" t="s">
        <v>4839</v>
      </c>
      <c r="D4806" t="s">
        <v>4840</v>
      </c>
      <c r="E4806" s="2"/>
      <c r="F4806" t="s">
        <v>66</v>
      </c>
      <c r="G4806" t="s">
        <v>370</v>
      </c>
      <c r="H4806" t="s">
        <v>370</v>
      </c>
      <c r="I4806"/>
    </row>
    <row r="4807" spans="1:9">
      <c r="A4807" t="s">
        <v>4809</v>
      </c>
      <c r="B4807" s="1" t="str">
        <f>"24073215.2"</f>
        <v>24073215.2</v>
      </c>
      <c r="C4807" t="s">
        <v>4839</v>
      </c>
      <c r="D4807" t="s">
        <v>4840</v>
      </c>
      <c r="E4807" s="2"/>
      <c r="F4807" t="s">
        <v>66</v>
      </c>
      <c r="G4807" t="s">
        <v>370</v>
      </c>
      <c r="H4807" t="s">
        <v>332</v>
      </c>
      <c r="I4807"/>
    </row>
    <row r="4808" spans="1:9">
      <c r="A4808" t="s">
        <v>4809</v>
      </c>
      <c r="B4808" s="1" t="str">
        <f>"20066187"</f>
        <v>20066187</v>
      </c>
      <c r="C4808" t="s">
        <v>4587</v>
      </c>
      <c r="D4808" t="s">
        <v>4841</v>
      </c>
      <c r="E4808" s="2"/>
      <c r="F4808" t="s">
        <v>4842</v>
      </c>
      <c r="G4808" t="s">
        <v>296</v>
      </c>
      <c r="H4808" t="s">
        <v>296</v>
      </c>
      <c r="I4808"/>
    </row>
    <row r="4809" spans="1:9">
      <c r="A4809" t="s">
        <v>4809</v>
      </c>
      <c r="B4809" s="1" t="str">
        <f>"20066189"</f>
        <v>20066189</v>
      </c>
      <c r="C4809" t="s">
        <v>4587</v>
      </c>
      <c r="D4809" t="s">
        <v>4843</v>
      </c>
      <c r="E4809" s="2"/>
      <c r="F4809" t="s">
        <v>4844</v>
      </c>
      <c r="G4809" t="s">
        <v>296</v>
      </c>
      <c r="H4809" t="s">
        <v>296</v>
      </c>
      <c r="I4809"/>
    </row>
    <row r="4810" spans="1:9">
      <c r="A4810" t="s">
        <v>4809</v>
      </c>
      <c r="B4810" s="1" t="str">
        <f>"20651616"</f>
        <v>20651616</v>
      </c>
      <c r="C4810" t="s">
        <v>4587</v>
      </c>
      <c r="D4810" t="s">
        <v>4845</v>
      </c>
      <c r="E4810" s="2"/>
      <c r="F4810" t="s">
        <v>4842</v>
      </c>
      <c r="G4810" t="s">
        <v>296</v>
      </c>
      <c r="H4810" t="s">
        <v>296</v>
      </c>
      <c r="I4810"/>
    </row>
    <row r="4811" spans="1:9">
      <c r="A4811" t="s">
        <v>4809</v>
      </c>
      <c r="B4811" s="1" t="str">
        <f>"20066185"</f>
        <v>20066185</v>
      </c>
      <c r="C4811" t="s">
        <v>4587</v>
      </c>
      <c r="D4811" t="s">
        <v>4846</v>
      </c>
      <c r="E4811" s="2"/>
      <c r="F4811" t="s">
        <v>4842</v>
      </c>
      <c r="G4811" t="s">
        <v>296</v>
      </c>
      <c r="H4811" t="s">
        <v>296</v>
      </c>
      <c r="I4811"/>
    </row>
    <row r="4812" spans="1:9">
      <c r="A4812" t="s">
        <v>4809</v>
      </c>
      <c r="B4812" s="1" t="str">
        <f>"20066186"</f>
        <v>20066186</v>
      </c>
      <c r="C4812" t="s">
        <v>4587</v>
      </c>
      <c r="D4812" t="s">
        <v>4847</v>
      </c>
      <c r="E4812" s="2"/>
      <c r="F4812" t="s">
        <v>4842</v>
      </c>
      <c r="G4812" t="s">
        <v>296</v>
      </c>
      <c r="H4812" t="s">
        <v>296</v>
      </c>
      <c r="I4812"/>
    </row>
    <row r="4813" spans="1:9">
      <c r="A4813" t="s">
        <v>4809</v>
      </c>
      <c r="B4813" s="1" t="str">
        <f>"20016854"</f>
        <v>20016854</v>
      </c>
      <c r="C4813" t="s">
        <v>4587</v>
      </c>
      <c r="D4813" t="s">
        <v>4848</v>
      </c>
      <c r="E4813" s="2"/>
      <c r="F4813" t="s">
        <v>12</v>
      </c>
      <c r="G4813" t="s">
        <v>262</v>
      </c>
      <c r="H4813" t="s">
        <v>262</v>
      </c>
      <c r="I4813"/>
    </row>
    <row r="4814" spans="1:9">
      <c r="A4814" t="s">
        <v>4809</v>
      </c>
      <c r="B4814" s="1" t="str">
        <f>"20061449"</f>
        <v>20061449</v>
      </c>
      <c r="C4814" t="s">
        <v>4587</v>
      </c>
      <c r="D4814" t="s">
        <v>4849</v>
      </c>
      <c r="E4814" s="2"/>
      <c r="F4814" t="s">
        <v>12</v>
      </c>
      <c r="G4814" t="s">
        <v>262</v>
      </c>
      <c r="H4814" t="s">
        <v>262</v>
      </c>
      <c r="I4814"/>
    </row>
    <row r="4815" spans="1:9">
      <c r="A4815" t="s">
        <v>4809</v>
      </c>
      <c r="B4815" s="1" t="str">
        <f>"20299027"</f>
        <v>20299027</v>
      </c>
      <c r="C4815" t="s">
        <v>225</v>
      </c>
      <c r="D4815" t="s">
        <v>4850</v>
      </c>
      <c r="E4815" s="2"/>
      <c r="F4815" t="s">
        <v>3630</v>
      </c>
      <c r="G4815" t="s">
        <v>25</v>
      </c>
      <c r="H4815" t="s">
        <v>25</v>
      </c>
      <c r="I4815"/>
    </row>
    <row r="4816" spans="1:9">
      <c r="A4816" t="s">
        <v>4809</v>
      </c>
      <c r="B4816" s="1" t="str">
        <f>"20299026"</f>
        <v>20299026</v>
      </c>
      <c r="C4816" t="s">
        <v>225</v>
      </c>
      <c r="D4816" t="s">
        <v>4851</v>
      </c>
      <c r="E4816" s="2"/>
      <c r="F4816" t="s">
        <v>4852</v>
      </c>
      <c r="G4816" t="s">
        <v>287</v>
      </c>
      <c r="H4816" t="s">
        <v>287</v>
      </c>
      <c r="I4816"/>
    </row>
    <row r="4817" spans="1:9">
      <c r="A4817" t="s">
        <v>4809</v>
      </c>
      <c r="B4817" s="1" t="str">
        <f>"28456980"</f>
        <v>28456980</v>
      </c>
      <c r="C4817" t="s">
        <v>225</v>
      </c>
      <c r="D4817" t="s">
        <v>4853</v>
      </c>
      <c r="E4817" s="2"/>
      <c r="F4817" t="s">
        <v>4854</v>
      </c>
      <c r="G4817" t="s">
        <v>218</v>
      </c>
      <c r="H4817" t="s">
        <v>218</v>
      </c>
      <c r="I4817"/>
    </row>
    <row r="4818" spans="1:9">
      <c r="A4818" t="s">
        <v>4809</v>
      </c>
      <c r="B4818" s="1" t="str">
        <f>"25665454"</f>
        <v>25665454</v>
      </c>
      <c r="C4818" t="s">
        <v>225</v>
      </c>
      <c r="D4818" t="s">
        <v>4855</v>
      </c>
      <c r="E4818" s="2"/>
      <c r="F4818" t="s">
        <v>4836</v>
      </c>
      <c r="G4818" t="s">
        <v>25</v>
      </c>
      <c r="H4818" t="s">
        <v>25</v>
      </c>
      <c r="I4818"/>
    </row>
    <row r="4819" spans="1:9">
      <c r="A4819" t="s">
        <v>4809</v>
      </c>
      <c r="B4819" s="1" t="str">
        <f>"20180227"</f>
        <v>20180227</v>
      </c>
      <c r="C4819" t="s">
        <v>225</v>
      </c>
      <c r="D4819" t="s">
        <v>4856</v>
      </c>
      <c r="E4819" s="2"/>
      <c r="F4819" t="s">
        <v>2294</v>
      </c>
      <c r="G4819" t="s">
        <v>997</v>
      </c>
      <c r="H4819" t="s">
        <v>997</v>
      </c>
      <c r="I4819"/>
    </row>
    <row r="4820" spans="1:9">
      <c r="A4820" t="s">
        <v>4809</v>
      </c>
      <c r="B4820" s="1" t="str">
        <f>"20299032"</f>
        <v>20299032</v>
      </c>
      <c r="C4820" t="s">
        <v>225</v>
      </c>
      <c r="D4820" t="s">
        <v>4857</v>
      </c>
      <c r="E4820" s="2"/>
      <c r="F4820" t="s">
        <v>3630</v>
      </c>
      <c r="G4820" t="s">
        <v>25</v>
      </c>
      <c r="H4820" t="s">
        <v>25</v>
      </c>
      <c r="I4820"/>
    </row>
    <row r="4821" spans="1:9">
      <c r="A4821" t="s">
        <v>4809</v>
      </c>
      <c r="B4821" s="1" t="str">
        <f>"20299034"</f>
        <v>20299034</v>
      </c>
      <c r="C4821" t="s">
        <v>225</v>
      </c>
      <c r="D4821" t="s">
        <v>4858</v>
      </c>
      <c r="E4821" s="2"/>
      <c r="F4821" t="s">
        <v>3630</v>
      </c>
      <c r="G4821" t="s">
        <v>25</v>
      </c>
      <c r="H4821" t="s">
        <v>25</v>
      </c>
      <c r="I4821"/>
    </row>
    <row r="4822" spans="1:9">
      <c r="A4822" t="s">
        <v>4809</v>
      </c>
      <c r="B4822" s="1" t="str">
        <f>"20298913"</f>
        <v>20298913</v>
      </c>
      <c r="C4822" t="s">
        <v>225</v>
      </c>
      <c r="D4822" t="s">
        <v>4859</v>
      </c>
      <c r="E4822" s="2"/>
      <c r="F4822" t="s">
        <v>4852</v>
      </c>
      <c r="G4822" t="s">
        <v>287</v>
      </c>
      <c r="H4822" t="s">
        <v>287</v>
      </c>
      <c r="I4822"/>
    </row>
    <row r="4823" spans="1:9">
      <c r="A4823" t="s">
        <v>4809</v>
      </c>
      <c r="B4823" s="1" t="str">
        <f>"20276096"</f>
        <v>20276096</v>
      </c>
      <c r="C4823" t="s">
        <v>225</v>
      </c>
      <c r="D4823" t="s">
        <v>4860</v>
      </c>
      <c r="E4823" s="2"/>
      <c r="F4823" t="s">
        <v>4854</v>
      </c>
      <c r="G4823" t="s">
        <v>218</v>
      </c>
      <c r="H4823" t="s">
        <v>218</v>
      </c>
      <c r="I4823"/>
    </row>
    <row r="4824" spans="1:9">
      <c r="A4824" t="s">
        <v>4809</v>
      </c>
      <c r="B4824" s="1" t="str">
        <f>"20041684"</f>
        <v>20041684</v>
      </c>
      <c r="C4824" t="s">
        <v>225</v>
      </c>
      <c r="D4824" t="s">
        <v>4861</v>
      </c>
      <c r="E4824" s="2"/>
      <c r="F4824" t="s">
        <v>3630</v>
      </c>
      <c r="G4824" t="s">
        <v>370</v>
      </c>
      <c r="H4824" t="s">
        <v>337</v>
      </c>
      <c r="I4824"/>
    </row>
    <row r="4825" spans="1:9">
      <c r="A4825" t="s">
        <v>4809</v>
      </c>
      <c r="B4825" s="1" t="str">
        <f>"20172574"</f>
        <v>20172574</v>
      </c>
      <c r="C4825" t="s">
        <v>225</v>
      </c>
      <c r="D4825" t="s">
        <v>4862</v>
      </c>
      <c r="E4825" s="2"/>
      <c r="F4825" t="s">
        <v>4863</v>
      </c>
      <c r="G4825" t="s">
        <v>4258</v>
      </c>
      <c r="H4825" t="s">
        <v>337</v>
      </c>
      <c r="I4825"/>
    </row>
    <row r="4826" spans="1:9">
      <c r="A4826" t="s">
        <v>4809</v>
      </c>
      <c r="B4826" s="1" t="str">
        <f>"20172573"</f>
        <v>20172573</v>
      </c>
      <c r="C4826" t="s">
        <v>225</v>
      </c>
      <c r="D4826" t="s">
        <v>4864</v>
      </c>
      <c r="E4826" s="2"/>
      <c r="F4826" t="s">
        <v>4863</v>
      </c>
      <c r="G4826" t="s">
        <v>4258</v>
      </c>
      <c r="H4826" t="s">
        <v>337</v>
      </c>
      <c r="I4826"/>
    </row>
    <row r="4827" spans="1:9">
      <c r="A4827" t="s">
        <v>4809</v>
      </c>
      <c r="B4827" s="1" t="str">
        <f>"20065498"</f>
        <v>20065498</v>
      </c>
      <c r="C4827" t="s">
        <v>225</v>
      </c>
      <c r="D4827" t="s">
        <v>4865</v>
      </c>
      <c r="E4827" s="2"/>
      <c r="F4827" t="s">
        <v>3630</v>
      </c>
      <c r="G4827" t="s">
        <v>25</v>
      </c>
      <c r="H4827" t="s">
        <v>25</v>
      </c>
      <c r="I4827"/>
    </row>
    <row r="4828" spans="1:9">
      <c r="A4828" t="s">
        <v>4809</v>
      </c>
      <c r="B4828" s="1" t="str">
        <f>"20656621"</f>
        <v>20656621</v>
      </c>
      <c r="C4828" t="s">
        <v>225</v>
      </c>
      <c r="D4828" t="s">
        <v>4866</v>
      </c>
      <c r="E4828" s="2"/>
      <c r="F4828" t="s">
        <v>3630</v>
      </c>
      <c r="G4828" t="s">
        <v>25</v>
      </c>
      <c r="H4828" t="s">
        <v>25</v>
      </c>
      <c r="I4828"/>
    </row>
    <row r="4829" spans="1:9">
      <c r="A4829" t="s">
        <v>4809</v>
      </c>
      <c r="B4829" s="1" t="str">
        <f>"21316545"</f>
        <v>21316545</v>
      </c>
      <c r="C4829" t="s">
        <v>225</v>
      </c>
      <c r="D4829" t="s">
        <v>4867</v>
      </c>
      <c r="E4829" s="2"/>
      <c r="F4829" t="s">
        <v>3630</v>
      </c>
      <c r="G4829" t="s">
        <v>25</v>
      </c>
      <c r="H4829" t="s">
        <v>25</v>
      </c>
      <c r="I4829"/>
    </row>
    <row r="4830" spans="1:9">
      <c r="A4830" t="s">
        <v>4809</v>
      </c>
      <c r="B4830" s="1" t="str">
        <f>"20656645"</f>
        <v>20656645</v>
      </c>
      <c r="C4830" t="s">
        <v>225</v>
      </c>
      <c r="D4830" t="s">
        <v>4868</v>
      </c>
      <c r="E4830" s="2"/>
      <c r="F4830" t="s">
        <v>3630</v>
      </c>
      <c r="G4830" t="s">
        <v>25</v>
      </c>
      <c r="H4830" t="s">
        <v>25</v>
      </c>
      <c r="I4830"/>
    </row>
    <row r="4831" spans="1:9">
      <c r="A4831" t="s">
        <v>4809</v>
      </c>
      <c r="B4831" s="1" t="str">
        <f>"25665455"</f>
        <v>25665455</v>
      </c>
      <c r="C4831" t="s">
        <v>225</v>
      </c>
      <c r="D4831" t="s">
        <v>4869</v>
      </c>
      <c r="E4831" s="2"/>
      <c r="F4831" t="s">
        <v>3630</v>
      </c>
      <c r="G4831" t="s">
        <v>25</v>
      </c>
      <c r="H4831" t="s">
        <v>25</v>
      </c>
      <c r="I4831"/>
    </row>
    <row r="4832" spans="1:9">
      <c r="A4832" t="s">
        <v>4809</v>
      </c>
      <c r="B4832" s="1" t="str">
        <f>"20818708"</f>
        <v>20818708</v>
      </c>
      <c r="C4832" t="s">
        <v>4870</v>
      </c>
      <c r="D4832" t="s">
        <v>4871</v>
      </c>
      <c r="E4832" s="2"/>
      <c r="F4832" t="s">
        <v>681</v>
      </c>
      <c r="G4832" t="s">
        <v>82</v>
      </c>
      <c r="H4832" t="s">
        <v>82</v>
      </c>
      <c r="I4832"/>
    </row>
    <row r="4833" spans="1:9">
      <c r="A4833" t="s">
        <v>4809</v>
      </c>
      <c r="B4833" s="1" t="str">
        <f>"20818708.2"</f>
        <v>20818708.2</v>
      </c>
      <c r="C4833" t="s">
        <v>4870</v>
      </c>
      <c r="D4833" t="s">
        <v>4871</v>
      </c>
      <c r="E4833" s="2"/>
      <c r="F4833" t="s">
        <v>681</v>
      </c>
      <c r="G4833" t="s">
        <v>82</v>
      </c>
      <c r="H4833" t="s">
        <v>218</v>
      </c>
      <c r="I4833"/>
    </row>
    <row r="4834" spans="1:9">
      <c r="A4834" t="s">
        <v>4809</v>
      </c>
      <c r="B4834" s="1" t="str">
        <f>"20107505"</f>
        <v>20107505</v>
      </c>
      <c r="C4834" t="s">
        <v>4872</v>
      </c>
      <c r="D4834" t="s">
        <v>4873</v>
      </c>
      <c r="E4834" s="2"/>
      <c r="F4834" t="s">
        <v>1760</v>
      </c>
      <c r="G4834" t="s">
        <v>80</v>
      </c>
      <c r="H4834" t="s">
        <v>80</v>
      </c>
      <c r="I4834"/>
    </row>
    <row r="4835" spans="1:9">
      <c r="A4835" t="s">
        <v>4809</v>
      </c>
      <c r="B4835" s="1" t="str">
        <f>"20107505.2"</f>
        <v>20107505.2</v>
      </c>
      <c r="C4835" t="s">
        <v>4872</v>
      </c>
      <c r="D4835" t="s">
        <v>4873</v>
      </c>
      <c r="E4835" s="2"/>
      <c r="F4835" t="s">
        <v>1760</v>
      </c>
      <c r="G4835" t="s">
        <v>80</v>
      </c>
      <c r="H4835" t="s">
        <v>218</v>
      </c>
      <c r="I4835"/>
    </row>
    <row r="4836" spans="1:9">
      <c r="A4836" t="s">
        <v>4809</v>
      </c>
      <c r="B4836" s="1" t="str">
        <f>"20079390"</f>
        <v>20079390</v>
      </c>
      <c r="C4836" t="s">
        <v>4874</v>
      </c>
      <c r="D4836" t="s">
        <v>4875</v>
      </c>
      <c r="E4836" s="2"/>
      <c r="F4836" t="s">
        <v>66</v>
      </c>
      <c r="G4836" t="s">
        <v>25</v>
      </c>
      <c r="H4836" t="s">
        <v>25</v>
      </c>
      <c r="I4836"/>
    </row>
    <row r="4837" spans="1:9">
      <c r="A4837" t="s">
        <v>4809</v>
      </c>
      <c r="B4837" s="1" t="str">
        <f>"20079390.2"</f>
        <v>20079390.2</v>
      </c>
      <c r="C4837" t="s">
        <v>4874</v>
      </c>
      <c r="D4837" t="s">
        <v>4875</v>
      </c>
      <c r="E4837" s="2"/>
      <c r="F4837" t="s">
        <v>66</v>
      </c>
      <c r="G4837" t="s">
        <v>25</v>
      </c>
      <c r="H4837" t="s">
        <v>332</v>
      </c>
      <c r="I4837"/>
    </row>
    <row r="4838" spans="1:9">
      <c r="A4838" t="s">
        <v>4809</v>
      </c>
      <c r="B4838" s="1" t="str">
        <f>"20907330"</f>
        <v>20907330</v>
      </c>
      <c r="C4838" t="s">
        <v>4876</v>
      </c>
      <c r="D4838" t="s">
        <v>4877</v>
      </c>
      <c r="E4838" s="2"/>
      <c r="F4838" t="s">
        <v>12</v>
      </c>
      <c r="G4838" t="s">
        <v>29</v>
      </c>
      <c r="H4838" t="s">
        <v>29</v>
      </c>
      <c r="I4838"/>
    </row>
    <row r="4839" spans="1:9">
      <c r="A4839" t="s">
        <v>4809</v>
      </c>
      <c r="B4839" s="1" t="str">
        <f>"20907330.2"</f>
        <v>20907330.2</v>
      </c>
      <c r="C4839" t="s">
        <v>4876</v>
      </c>
      <c r="D4839" t="s">
        <v>4877</v>
      </c>
      <c r="E4839" s="2"/>
      <c r="F4839" t="s">
        <v>12</v>
      </c>
      <c r="G4839" t="s">
        <v>29</v>
      </c>
      <c r="H4839" t="s">
        <v>332</v>
      </c>
      <c r="I4839"/>
    </row>
    <row r="4840" spans="1:9">
      <c r="A4840" t="s">
        <v>4809</v>
      </c>
      <c r="B4840" s="1" t="str">
        <f>"20166281"</f>
        <v>20166281</v>
      </c>
      <c r="C4840" t="s">
        <v>4878</v>
      </c>
      <c r="D4840" t="s">
        <v>4879</v>
      </c>
      <c r="E4840" s="2"/>
      <c r="F4840" t="s">
        <v>12</v>
      </c>
      <c r="G4840" t="s">
        <v>29</v>
      </c>
      <c r="H4840" t="s">
        <v>29</v>
      </c>
      <c r="I4840"/>
    </row>
    <row r="4841" spans="1:9">
      <c r="A4841" t="s">
        <v>4809</v>
      </c>
      <c r="B4841" s="1" t="str">
        <f>"20166281.2"</f>
        <v>20166281.2</v>
      </c>
      <c r="C4841" t="s">
        <v>4878</v>
      </c>
      <c r="D4841" t="s">
        <v>4879</v>
      </c>
      <c r="E4841" s="2"/>
      <c r="F4841" t="s">
        <v>12</v>
      </c>
      <c r="G4841" t="s">
        <v>29</v>
      </c>
      <c r="H4841" t="s">
        <v>332</v>
      </c>
      <c r="I4841"/>
    </row>
    <row r="4842" spans="1:9">
      <c r="A4842" t="s">
        <v>4809</v>
      </c>
      <c r="B4842" s="1" t="str">
        <f>"20717438"</f>
        <v>20717438</v>
      </c>
      <c r="C4842" t="s">
        <v>4878</v>
      </c>
      <c r="D4842" t="s">
        <v>4880</v>
      </c>
      <c r="E4842" s="2"/>
      <c r="F4842" t="s">
        <v>12</v>
      </c>
      <c r="G4842" t="s">
        <v>29</v>
      </c>
      <c r="H4842" t="s">
        <v>29</v>
      </c>
      <c r="I4842"/>
    </row>
    <row r="4843" spans="1:9">
      <c r="A4843" t="s">
        <v>4809</v>
      </c>
      <c r="B4843" s="1" t="str">
        <f>"20717438.2"</f>
        <v>20717438.2</v>
      </c>
      <c r="C4843" t="s">
        <v>4878</v>
      </c>
      <c r="D4843" t="s">
        <v>4880</v>
      </c>
      <c r="E4843" s="2"/>
      <c r="F4843" t="s">
        <v>12</v>
      </c>
      <c r="G4843" t="s">
        <v>29</v>
      </c>
      <c r="H4843" t="s">
        <v>332</v>
      </c>
      <c r="I4843"/>
    </row>
    <row r="4844" spans="1:9">
      <c r="A4844" t="s">
        <v>4809</v>
      </c>
      <c r="B4844" s="1" t="str">
        <f>"20190027"</f>
        <v>20190027</v>
      </c>
      <c r="C4844" t="s">
        <v>4881</v>
      </c>
      <c r="D4844" t="s">
        <v>4882</v>
      </c>
      <c r="E4844" s="2"/>
      <c r="F4844"/>
      <c r="G4844" t="s">
        <v>4883</v>
      </c>
      <c r="H4844" t="s">
        <v>4883</v>
      </c>
      <c r="I4844"/>
    </row>
    <row r="4845" spans="1:9">
      <c r="A4845" t="s">
        <v>4809</v>
      </c>
      <c r="B4845" s="1" t="str">
        <f>"20190026"</f>
        <v>20190026</v>
      </c>
      <c r="C4845" t="s">
        <v>4881</v>
      </c>
      <c r="D4845" t="s">
        <v>4884</v>
      </c>
      <c r="E4845" s="2"/>
      <c r="F4845"/>
      <c r="G4845" t="s">
        <v>4883</v>
      </c>
      <c r="H4845" t="s">
        <v>2414</v>
      </c>
      <c r="I4845"/>
    </row>
    <row r="4846" spans="1:9">
      <c r="A4846" t="s">
        <v>4809</v>
      </c>
      <c r="B4846" s="1" t="str">
        <f>"20136307"</f>
        <v>20136307</v>
      </c>
      <c r="C4846" t="s">
        <v>4881</v>
      </c>
      <c r="D4846" t="s">
        <v>4885</v>
      </c>
      <c r="E4846" s="2"/>
      <c r="F4846" t="s">
        <v>4833</v>
      </c>
      <c r="G4846" t="s">
        <v>29</v>
      </c>
      <c r="H4846" t="s">
        <v>332</v>
      </c>
      <c r="I4846"/>
    </row>
    <row r="4847" spans="1:9">
      <c r="A4847" t="s">
        <v>4809</v>
      </c>
      <c r="B4847" s="1" t="str">
        <f>"20136352"</f>
        <v>20136352</v>
      </c>
      <c r="C4847" t="s">
        <v>4881</v>
      </c>
      <c r="D4847" t="s">
        <v>4886</v>
      </c>
      <c r="E4847" s="2"/>
      <c r="F4847" t="s">
        <v>4887</v>
      </c>
      <c r="G4847" t="s">
        <v>370</v>
      </c>
      <c r="H4847" t="s">
        <v>332</v>
      </c>
      <c r="I4847"/>
    </row>
    <row r="4848" spans="1:9">
      <c r="A4848" t="s">
        <v>4809</v>
      </c>
      <c r="B4848" s="1" t="str">
        <f>"20190051"</f>
        <v>20190051</v>
      </c>
      <c r="C4848" t="s">
        <v>4881</v>
      </c>
      <c r="D4848" t="s">
        <v>4888</v>
      </c>
      <c r="E4848" s="2"/>
      <c r="F4848" t="s">
        <v>4887</v>
      </c>
      <c r="G4848" t="s">
        <v>370</v>
      </c>
      <c r="H4848" t="s">
        <v>332</v>
      </c>
      <c r="I4848"/>
    </row>
    <row r="4849" spans="1:9">
      <c r="A4849" t="s">
        <v>4809</v>
      </c>
      <c r="B4849" s="1" t="str">
        <f>"20255220"</f>
        <v>20255220</v>
      </c>
      <c r="C4849" t="s">
        <v>4889</v>
      </c>
      <c r="D4849" t="s">
        <v>4890</v>
      </c>
      <c r="E4849" s="2"/>
      <c r="F4849" t="s">
        <v>4891</v>
      </c>
      <c r="G4849" t="s">
        <v>25</v>
      </c>
      <c r="H4849" t="s">
        <v>25</v>
      </c>
      <c r="I4849"/>
    </row>
    <row r="4850" spans="1:9">
      <c r="A4850" t="s">
        <v>4809</v>
      </c>
      <c r="B4850" s="1" t="str">
        <f>"20255046"</f>
        <v>20255046</v>
      </c>
      <c r="C4850" t="s">
        <v>4889</v>
      </c>
      <c r="D4850" t="s">
        <v>4892</v>
      </c>
      <c r="E4850" s="2"/>
      <c r="F4850" t="s">
        <v>4891</v>
      </c>
      <c r="G4850" t="s">
        <v>25</v>
      </c>
      <c r="H4850" t="s">
        <v>25</v>
      </c>
      <c r="I4850"/>
    </row>
    <row r="4851" spans="1:9">
      <c r="A4851" t="s">
        <v>4809</v>
      </c>
      <c r="B4851" s="1" t="str">
        <f>"20200010"</f>
        <v>20200010</v>
      </c>
      <c r="C4851" t="s">
        <v>4889</v>
      </c>
      <c r="D4851" t="s">
        <v>4893</v>
      </c>
      <c r="E4851" s="2"/>
      <c r="F4851" t="s">
        <v>4894</v>
      </c>
      <c r="G4851" t="s">
        <v>296</v>
      </c>
      <c r="H4851" t="s">
        <v>296</v>
      </c>
      <c r="I4851"/>
    </row>
    <row r="4852" spans="1:9">
      <c r="A4852" t="s">
        <v>4809</v>
      </c>
      <c r="B4852" s="1" t="str">
        <f>"20591045"</f>
        <v>20591045</v>
      </c>
      <c r="C4852" t="s">
        <v>4889</v>
      </c>
      <c r="D4852" t="s">
        <v>4895</v>
      </c>
      <c r="E4852" s="2"/>
      <c r="F4852" t="s">
        <v>4896</v>
      </c>
      <c r="G4852" t="s">
        <v>296</v>
      </c>
      <c r="H4852" t="s">
        <v>296</v>
      </c>
      <c r="I4852"/>
    </row>
    <row r="4853" spans="1:9">
      <c r="A4853" t="s">
        <v>4809</v>
      </c>
      <c r="B4853" s="1" t="str">
        <f>"26656456"</f>
        <v>26656456</v>
      </c>
      <c r="C4853" t="s">
        <v>4889</v>
      </c>
      <c r="D4853" t="s">
        <v>4897</v>
      </c>
      <c r="E4853" s="2"/>
      <c r="F4853" t="s">
        <v>4898</v>
      </c>
      <c r="G4853" t="s">
        <v>287</v>
      </c>
      <c r="H4853" t="s">
        <v>13</v>
      </c>
      <c r="I4853"/>
    </row>
    <row r="4854" spans="1:9">
      <c r="A4854" t="s">
        <v>4809</v>
      </c>
      <c r="B4854" s="1" t="str">
        <f>"20250120"</f>
        <v>20250120</v>
      </c>
      <c r="C4854" t="s">
        <v>4889</v>
      </c>
      <c r="D4854" t="s">
        <v>4899</v>
      </c>
      <c r="E4854" s="2"/>
      <c r="F4854" t="s">
        <v>4900</v>
      </c>
      <c r="G4854"/>
      <c r="H4854" t="s">
        <v>4901</v>
      </c>
      <c r="I4854"/>
    </row>
    <row r="4855" spans="1:9">
      <c r="A4855" t="s">
        <v>4809</v>
      </c>
      <c r="B4855" s="1" t="str">
        <f>"20801502"</f>
        <v>20801502</v>
      </c>
      <c r="C4855" t="s">
        <v>4889</v>
      </c>
      <c r="D4855" t="s">
        <v>4902</v>
      </c>
      <c r="E4855" s="2"/>
      <c r="F4855" t="s">
        <v>4903</v>
      </c>
      <c r="G4855" t="s">
        <v>287</v>
      </c>
      <c r="H4855" t="s">
        <v>218</v>
      </c>
      <c r="I4855"/>
    </row>
    <row r="4856" spans="1:9">
      <c r="A4856" t="s">
        <v>4809</v>
      </c>
      <c r="B4856" s="1" t="str">
        <f>"20250119"</f>
        <v>20250119</v>
      </c>
      <c r="C4856" t="s">
        <v>4889</v>
      </c>
      <c r="D4856" t="s">
        <v>4904</v>
      </c>
      <c r="E4856" s="2"/>
      <c r="F4856" t="s">
        <v>4905</v>
      </c>
      <c r="G4856"/>
      <c r="H4856" t="s">
        <v>2780</v>
      </c>
      <c r="I4856"/>
    </row>
    <row r="4857" spans="1:9">
      <c r="A4857" t="s">
        <v>4809</v>
      </c>
      <c r="B4857" s="1" t="str">
        <f>"24363758"</f>
        <v>24363758</v>
      </c>
      <c r="C4857" t="s">
        <v>4889</v>
      </c>
      <c r="D4857" t="s">
        <v>4906</v>
      </c>
      <c r="E4857" s="2"/>
      <c r="F4857" t="s">
        <v>4649</v>
      </c>
      <c r="G4857" t="s">
        <v>4907</v>
      </c>
      <c r="H4857" t="s">
        <v>4907</v>
      </c>
      <c r="I4857"/>
    </row>
    <row r="4858" spans="1:9">
      <c r="A4858" t="s">
        <v>4809</v>
      </c>
      <c r="B4858" s="1" t="str">
        <f>"20018499"</f>
        <v>20018499</v>
      </c>
      <c r="C4858" t="s">
        <v>4889</v>
      </c>
      <c r="D4858" t="s">
        <v>4908</v>
      </c>
      <c r="E4858" s="2"/>
      <c r="F4858" t="s">
        <v>4900</v>
      </c>
      <c r="G4858" t="s">
        <v>2948</v>
      </c>
      <c r="H4858" t="s">
        <v>3172</v>
      </c>
      <c r="I4858"/>
    </row>
    <row r="4859" spans="1:9">
      <c r="A4859" t="s">
        <v>4809</v>
      </c>
      <c r="B4859" s="1" t="str">
        <f>"12093512"</f>
        <v>12093512</v>
      </c>
      <c r="C4859" t="s">
        <v>4889</v>
      </c>
      <c r="D4859" t="s">
        <v>4909</v>
      </c>
      <c r="E4859" s="2"/>
      <c r="F4859"/>
      <c r="G4859" t="s">
        <v>4907</v>
      </c>
      <c r="H4859" t="s">
        <v>4907</v>
      </c>
      <c r="I4859"/>
    </row>
    <row r="4860" spans="1:9">
      <c r="A4860" t="s">
        <v>4809</v>
      </c>
      <c r="B4860" s="1" t="str">
        <f>"12093509"</f>
        <v>12093509</v>
      </c>
      <c r="C4860" t="s">
        <v>4889</v>
      </c>
      <c r="D4860" t="s">
        <v>4910</v>
      </c>
      <c r="E4860" s="2"/>
      <c r="F4860"/>
      <c r="G4860" t="s">
        <v>4907</v>
      </c>
      <c r="H4860" t="s">
        <v>4907</v>
      </c>
      <c r="I4860"/>
    </row>
    <row r="4861" spans="1:9">
      <c r="A4861" t="s">
        <v>4809</v>
      </c>
      <c r="B4861" s="1" t="str">
        <f>"20084431"</f>
        <v>20084431</v>
      </c>
      <c r="C4861" t="s">
        <v>4911</v>
      </c>
      <c r="D4861" t="s">
        <v>4912</v>
      </c>
      <c r="E4861" s="2"/>
      <c r="F4861" t="s">
        <v>4913</v>
      </c>
      <c r="G4861" t="s">
        <v>29</v>
      </c>
      <c r="H4861" t="s">
        <v>370</v>
      </c>
      <c r="I4861"/>
    </row>
    <row r="4862" spans="1:9">
      <c r="A4862" t="s">
        <v>4809</v>
      </c>
      <c r="B4862" s="1" t="str">
        <f>"20200006"</f>
        <v>20200006</v>
      </c>
      <c r="C4862" t="s">
        <v>4911</v>
      </c>
      <c r="D4862" t="s">
        <v>4914</v>
      </c>
      <c r="E4862" s="2"/>
      <c r="F4862" t="s">
        <v>4913</v>
      </c>
      <c r="G4862" t="s">
        <v>370</v>
      </c>
      <c r="H4862" t="s">
        <v>370</v>
      </c>
      <c r="I4862"/>
    </row>
    <row r="4863" spans="1:9">
      <c r="A4863" t="s">
        <v>4809</v>
      </c>
      <c r="B4863" s="1" t="str">
        <f>"20180226"</f>
        <v>20180226</v>
      </c>
      <c r="C4863" t="s">
        <v>4911</v>
      </c>
      <c r="D4863" t="s">
        <v>4915</v>
      </c>
      <c r="E4863" s="2"/>
      <c r="F4863" t="s">
        <v>4913</v>
      </c>
      <c r="G4863" t="s">
        <v>370</v>
      </c>
      <c r="H4863" t="s">
        <v>370</v>
      </c>
      <c r="I4863"/>
    </row>
    <row r="4864" spans="1:9">
      <c r="A4864" t="s">
        <v>4809</v>
      </c>
      <c r="B4864" s="1" t="str">
        <f>"20190050"</f>
        <v>20190050</v>
      </c>
      <c r="C4864" t="s">
        <v>4911</v>
      </c>
      <c r="D4864" t="s">
        <v>4916</v>
      </c>
      <c r="E4864" s="2"/>
      <c r="F4864" t="s">
        <v>4913</v>
      </c>
      <c r="G4864" t="s">
        <v>370</v>
      </c>
      <c r="H4864" t="s">
        <v>370</v>
      </c>
      <c r="I4864"/>
    </row>
    <row r="4865" spans="1:9">
      <c r="A4865" t="s">
        <v>4809</v>
      </c>
      <c r="B4865" s="1" t="str">
        <f>"20554569"</f>
        <v>20554569</v>
      </c>
      <c r="C4865" t="s">
        <v>4318</v>
      </c>
      <c r="D4865" t="s">
        <v>4861</v>
      </c>
      <c r="E4865" s="2"/>
      <c r="F4865" t="s">
        <v>3630</v>
      </c>
      <c r="G4865" t="s">
        <v>370</v>
      </c>
      <c r="H4865" t="s">
        <v>370</v>
      </c>
      <c r="I4865"/>
    </row>
    <row r="4866" spans="1:9">
      <c r="A4866" t="s">
        <v>4809</v>
      </c>
      <c r="B4866" s="1" t="str">
        <f>"20554569.2"</f>
        <v>20554569.2</v>
      </c>
      <c r="C4866" t="s">
        <v>4318</v>
      </c>
      <c r="D4866" t="s">
        <v>4861</v>
      </c>
      <c r="E4866" s="2"/>
      <c r="F4866" t="s">
        <v>3630</v>
      </c>
      <c r="G4866" t="s">
        <v>370</v>
      </c>
      <c r="H4866" t="s">
        <v>332</v>
      </c>
      <c r="I4866"/>
    </row>
    <row r="4867" spans="1:9">
      <c r="A4867" t="s">
        <v>4809</v>
      </c>
      <c r="B4867" s="1" t="str">
        <f>"20531560"</f>
        <v>20531560</v>
      </c>
      <c r="C4867" t="s">
        <v>4917</v>
      </c>
      <c r="D4867" t="s">
        <v>4918</v>
      </c>
      <c r="E4867" s="2"/>
      <c r="F4867" t="s">
        <v>22</v>
      </c>
      <c r="G4867" t="s">
        <v>58</v>
      </c>
      <c r="H4867" t="s">
        <v>58</v>
      </c>
      <c r="I4867"/>
    </row>
    <row r="4868" spans="1:9">
      <c r="A4868" t="s">
        <v>4809</v>
      </c>
      <c r="B4868" s="1" t="str">
        <f>"20531560.2"</f>
        <v>20531560.2</v>
      </c>
      <c r="C4868" t="s">
        <v>4917</v>
      </c>
      <c r="D4868" t="s">
        <v>4918</v>
      </c>
      <c r="E4868" s="2"/>
      <c r="F4868" t="s">
        <v>22</v>
      </c>
      <c r="G4868" t="s">
        <v>58</v>
      </c>
      <c r="H4868" t="s">
        <v>218</v>
      </c>
      <c r="I4868"/>
    </row>
    <row r="4869" spans="1:9">
      <c r="A4869" t="s">
        <v>4809</v>
      </c>
      <c r="B4869" s="1" t="str">
        <f>"20044239"</f>
        <v>20044239</v>
      </c>
      <c r="C4869" t="s">
        <v>4917</v>
      </c>
      <c r="D4869" t="s">
        <v>4919</v>
      </c>
      <c r="E4869" s="2"/>
      <c r="F4869" t="s">
        <v>66</v>
      </c>
      <c r="G4869" t="s">
        <v>4258</v>
      </c>
      <c r="H4869" t="s">
        <v>4258</v>
      </c>
      <c r="I4869"/>
    </row>
    <row r="4870" spans="1:9">
      <c r="A4870" t="s">
        <v>4809</v>
      </c>
      <c r="B4870" s="1" t="str">
        <f>"20044239.2"</f>
        <v>20044239.2</v>
      </c>
      <c r="C4870" t="s">
        <v>4917</v>
      </c>
      <c r="D4870" t="s">
        <v>4919</v>
      </c>
      <c r="E4870" s="2"/>
      <c r="F4870" t="s">
        <v>66</v>
      </c>
      <c r="G4870" t="s">
        <v>4258</v>
      </c>
      <c r="H4870" t="s">
        <v>332</v>
      </c>
      <c r="I4870"/>
    </row>
    <row r="4871" spans="1:9">
      <c r="A4871" t="s">
        <v>4809</v>
      </c>
      <c r="B4871" s="1" t="str">
        <f>"20051488"</f>
        <v>20051488</v>
      </c>
      <c r="C4871" t="s">
        <v>4917</v>
      </c>
      <c r="D4871" t="s">
        <v>4920</v>
      </c>
      <c r="E4871" s="2"/>
      <c r="F4871" t="s">
        <v>206</v>
      </c>
      <c r="G4871" t="s">
        <v>4028</v>
      </c>
      <c r="H4871" t="s">
        <v>4028</v>
      </c>
      <c r="I4871"/>
    </row>
    <row r="4872" spans="1:9">
      <c r="A4872" t="s">
        <v>4809</v>
      </c>
      <c r="B4872" s="1" t="str">
        <f>"20051488.2"</f>
        <v>20051488.2</v>
      </c>
      <c r="C4872" t="s">
        <v>4917</v>
      </c>
      <c r="D4872" t="s">
        <v>4920</v>
      </c>
      <c r="E4872" s="2"/>
      <c r="F4872" t="s">
        <v>206</v>
      </c>
      <c r="G4872" t="s">
        <v>4028</v>
      </c>
      <c r="H4872" t="s">
        <v>1453</v>
      </c>
      <c r="I4872"/>
    </row>
    <row r="4873" spans="1:9">
      <c r="A4873" t="s">
        <v>4809</v>
      </c>
      <c r="B4873" s="1" t="str">
        <f>"20016848.2"</f>
        <v>20016848.2</v>
      </c>
      <c r="C4873" t="s">
        <v>4921</v>
      </c>
      <c r="D4873" t="s">
        <v>4922</v>
      </c>
      <c r="E4873" s="2"/>
      <c r="F4873" t="s">
        <v>12</v>
      </c>
      <c r="G4873" t="s">
        <v>29</v>
      </c>
      <c r="H4873" t="s">
        <v>332</v>
      </c>
      <c r="I4873"/>
    </row>
    <row r="4874" spans="1:9">
      <c r="A4874" t="s">
        <v>4809</v>
      </c>
      <c r="B4874" s="1" t="str">
        <f>"20180326"</f>
        <v>20180326</v>
      </c>
      <c r="C4874" t="s">
        <v>4921</v>
      </c>
      <c r="D4874" t="s">
        <v>4923</v>
      </c>
      <c r="E4874" s="2"/>
      <c r="F4874" t="s">
        <v>12</v>
      </c>
      <c r="G4874" t="s">
        <v>29</v>
      </c>
      <c r="H4874" t="s">
        <v>29</v>
      </c>
      <c r="I4874"/>
    </row>
    <row r="4875" spans="1:9">
      <c r="A4875" t="s">
        <v>4809</v>
      </c>
      <c r="B4875" s="1" t="str">
        <f>"20016848"</f>
        <v>20016848</v>
      </c>
      <c r="C4875" t="s">
        <v>4921</v>
      </c>
      <c r="D4875" t="s">
        <v>4924</v>
      </c>
      <c r="E4875" s="2"/>
      <c r="F4875" t="s">
        <v>12</v>
      </c>
      <c r="G4875" t="s">
        <v>29</v>
      </c>
      <c r="H4875" t="s">
        <v>29</v>
      </c>
      <c r="I4875"/>
    </row>
    <row r="4876" spans="1:9">
      <c r="A4876" t="s">
        <v>4809</v>
      </c>
      <c r="B4876" s="1" t="str">
        <f>"20250121"</f>
        <v>20250121</v>
      </c>
      <c r="C4876" t="s">
        <v>4925</v>
      </c>
      <c r="D4876" t="s">
        <v>4926</v>
      </c>
      <c r="E4876" s="2"/>
      <c r="F4876" t="s">
        <v>4927</v>
      </c>
      <c r="G4876"/>
      <c r="H4876" t="s">
        <v>2780</v>
      </c>
      <c r="I4876"/>
    </row>
    <row r="4877" spans="1:9">
      <c r="A4877" t="s">
        <v>4809</v>
      </c>
      <c r="B4877" s="1" t="str">
        <f>"20250122"</f>
        <v>20250122</v>
      </c>
      <c r="C4877" t="s">
        <v>4925</v>
      </c>
      <c r="D4877" t="s">
        <v>4928</v>
      </c>
      <c r="E4877" s="2"/>
      <c r="F4877" t="s">
        <v>4927</v>
      </c>
      <c r="G4877"/>
      <c r="H4877" t="s">
        <v>2780</v>
      </c>
      <c r="I4877"/>
    </row>
    <row r="4878" spans="1:9">
      <c r="A4878" t="s">
        <v>4809</v>
      </c>
      <c r="B4878" s="1" t="str">
        <f>"25531486"</f>
        <v>25531486</v>
      </c>
      <c r="C4878" t="s">
        <v>4925</v>
      </c>
      <c r="D4878" t="s">
        <v>4929</v>
      </c>
      <c r="E4878" s="2"/>
      <c r="F4878" t="s">
        <v>4930</v>
      </c>
      <c r="G4878" t="s">
        <v>25</v>
      </c>
      <c r="H4878" t="s">
        <v>25</v>
      </c>
      <c r="I4878"/>
    </row>
    <row r="4879" spans="1:9">
      <c r="A4879" t="s">
        <v>4809</v>
      </c>
      <c r="B4879" s="1" t="str">
        <f>"20077693.2"</f>
        <v>20077693.2</v>
      </c>
      <c r="C4879" t="s">
        <v>4925</v>
      </c>
      <c r="D4879" t="s">
        <v>4931</v>
      </c>
      <c r="E4879" s="2"/>
      <c r="F4879" t="s">
        <v>4932</v>
      </c>
      <c r="G4879" t="s">
        <v>296</v>
      </c>
      <c r="H4879" t="s">
        <v>517</v>
      </c>
      <c r="I4879"/>
    </row>
    <row r="4880" spans="1:9">
      <c r="A4880" t="s">
        <v>4809</v>
      </c>
      <c r="B4880" s="1" t="str">
        <f>"20077694.2"</f>
        <v>20077694.2</v>
      </c>
      <c r="C4880" t="s">
        <v>4925</v>
      </c>
      <c r="D4880" t="s">
        <v>4933</v>
      </c>
      <c r="E4880" s="2"/>
      <c r="F4880" t="s">
        <v>4932</v>
      </c>
      <c r="G4880" t="s">
        <v>296</v>
      </c>
      <c r="H4880" t="s">
        <v>517</v>
      </c>
      <c r="I4880"/>
    </row>
    <row r="4881" spans="1:9">
      <c r="A4881" t="s">
        <v>4809</v>
      </c>
      <c r="B4881" s="1" t="str">
        <f>"20077694"</f>
        <v>20077694</v>
      </c>
      <c r="C4881" t="s">
        <v>4925</v>
      </c>
      <c r="D4881" t="s">
        <v>4934</v>
      </c>
      <c r="E4881" s="2"/>
      <c r="F4881" t="s">
        <v>4935</v>
      </c>
      <c r="G4881" t="s">
        <v>296</v>
      </c>
      <c r="H4881" t="s">
        <v>296</v>
      </c>
      <c r="I4881"/>
    </row>
    <row r="4882" spans="1:9">
      <c r="A4882" t="s">
        <v>4809</v>
      </c>
      <c r="B4882" s="1" t="str">
        <f>"20077693"</f>
        <v>20077693</v>
      </c>
      <c r="C4882" t="s">
        <v>4925</v>
      </c>
      <c r="D4882" t="s">
        <v>4936</v>
      </c>
      <c r="E4882" s="2"/>
      <c r="F4882" t="s">
        <v>4935</v>
      </c>
      <c r="G4882" t="s">
        <v>296</v>
      </c>
      <c r="H4882" t="s">
        <v>296</v>
      </c>
      <c r="I4882"/>
    </row>
    <row r="4883" spans="1:9">
      <c r="A4883" t="s">
        <v>4809</v>
      </c>
      <c r="B4883" s="1" t="str">
        <f>"20024802"</f>
        <v>20024802</v>
      </c>
      <c r="C4883" t="s">
        <v>4937</v>
      </c>
      <c r="D4883" t="s">
        <v>4938</v>
      </c>
      <c r="E4883" s="2"/>
      <c r="F4883" t="s">
        <v>12</v>
      </c>
      <c r="G4883" t="s">
        <v>29</v>
      </c>
      <c r="H4883" t="s">
        <v>29</v>
      </c>
      <c r="I4883"/>
    </row>
    <row r="4884" spans="1:9">
      <c r="A4884" t="s">
        <v>4809</v>
      </c>
      <c r="B4884" s="1" t="str">
        <f>"20024802.2"</f>
        <v>20024802.2</v>
      </c>
      <c r="C4884" t="s">
        <v>4937</v>
      </c>
      <c r="D4884" t="s">
        <v>4938</v>
      </c>
      <c r="E4884" s="2"/>
      <c r="F4884" t="s">
        <v>12</v>
      </c>
      <c r="G4884" t="s">
        <v>29</v>
      </c>
      <c r="H4884" t="s">
        <v>332</v>
      </c>
      <c r="I4884"/>
    </row>
    <row r="4885" spans="1:9">
      <c r="A4885" t="s">
        <v>4939</v>
      </c>
      <c r="B4885" s="1" t="str">
        <f>"20175704"</f>
        <v>20175704</v>
      </c>
      <c r="C4885" t="s">
        <v>225</v>
      </c>
      <c r="D4885" t="s">
        <v>4940</v>
      </c>
      <c r="E4885" s="2"/>
      <c r="F4885"/>
      <c r="G4885" t="s">
        <v>19</v>
      </c>
      <c r="H4885" t="s">
        <v>19</v>
      </c>
      <c r="I4885"/>
    </row>
    <row r="4886" spans="1:9">
      <c r="A4886" t="s">
        <v>4939</v>
      </c>
      <c r="B4886" s="1" t="str">
        <f>"20555011"</f>
        <v>20555011</v>
      </c>
      <c r="C4886" t="s">
        <v>225</v>
      </c>
      <c r="D4886" t="s">
        <v>4941</v>
      </c>
      <c r="E4886" s="2"/>
      <c r="F4886"/>
      <c r="G4886" t="s">
        <v>82</v>
      </c>
      <c r="H4886" t="s">
        <v>13</v>
      </c>
      <c r="I4886"/>
    </row>
    <row r="4887" spans="1:9">
      <c r="A4887" t="s">
        <v>4939</v>
      </c>
      <c r="B4887" s="1" t="str">
        <f>"20919146"</f>
        <v>20919146</v>
      </c>
      <c r="C4887" t="s">
        <v>225</v>
      </c>
      <c r="D4887" t="s">
        <v>4941</v>
      </c>
      <c r="E4887" s="2"/>
      <c r="F4887"/>
      <c r="G4887" t="s">
        <v>13</v>
      </c>
      <c r="H4887" t="s">
        <v>148</v>
      </c>
      <c r="I4887"/>
    </row>
    <row r="4888" spans="1:9">
      <c r="A4888" t="s">
        <v>4939</v>
      </c>
      <c r="B4888" s="1" t="str">
        <f>"20206857"</f>
        <v>20206857</v>
      </c>
      <c r="C4888" t="s">
        <v>225</v>
      </c>
      <c r="D4888" t="s">
        <v>4942</v>
      </c>
      <c r="E4888" s="2"/>
      <c r="F4888"/>
      <c r="G4888" t="s">
        <v>299</v>
      </c>
      <c r="H4888" t="s">
        <v>299</v>
      </c>
      <c r="I4888"/>
    </row>
    <row r="4889" spans="1:9">
      <c r="A4889" t="s">
        <v>4939</v>
      </c>
      <c r="B4889" s="1" t="str">
        <f>"20206932"</f>
        <v>20206932</v>
      </c>
      <c r="C4889" t="s">
        <v>225</v>
      </c>
      <c r="D4889" t="s">
        <v>4943</v>
      </c>
      <c r="E4889" s="2"/>
      <c r="F4889"/>
      <c r="G4889" t="s">
        <v>322</v>
      </c>
      <c r="H4889" t="s">
        <v>322</v>
      </c>
      <c r="I4889"/>
    </row>
    <row r="4890" spans="1:9">
      <c r="A4890" t="s">
        <v>4939</v>
      </c>
      <c r="B4890" s="1" t="str">
        <f>"20073633"</f>
        <v>20073633</v>
      </c>
      <c r="C4890" t="s">
        <v>4561</v>
      </c>
      <c r="D4890" t="s">
        <v>4944</v>
      </c>
      <c r="E4890" s="2"/>
      <c r="F4890"/>
      <c r="G4890" t="s">
        <v>2249</v>
      </c>
      <c r="H4890" t="s">
        <v>2249</v>
      </c>
      <c r="I4890"/>
    </row>
    <row r="4891" spans="1:9">
      <c r="A4891" t="s">
        <v>4939</v>
      </c>
      <c r="B4891" s="1" t="str">
        <f>"20073633.2"</f>
        <v>20073633.2</v>
      </c>
      <c r="C4891" t="s">
        <v>4561</v>
      </c>
      <c r="D4891" t="s">
        <v>4944</v>
      </c>
      <c r="E4891" s="2"/>
      <c r="F4891"/>
      <c r="G4891" t="s">
        <v>2249</v>
      </c>
      <c r="H4891" t="s">
        <v>218</v>
      </c>
      <c r="I4891"/>
    </row>
    <row r="4892" spans="1:9">
      <c r="A4892" t="s">
        <v>4939</v>
      </c>
      <c r="B4892" s="1" t="str">
        <f>"20826406"</f>
        <v>20826406</v>
      </c>
      <c r="C4892" t="s">
        <v>4561</v>
      </c>
      <c r="D4892" t="s">
        <v>4945</v>
      </c>
      <c r="E4892" s="2"/>
      <c r="F4892"/>
      <c r="G4892" t="s">
        <v>1141</v>
      </c>
      <c r="H4892" t="s">
        <v>1141</v>
      </c>
      <c r="I4892"/>
    </row>
    <row r="4893" spans="1:9">
      <c r="A4893" t="s">
        <v>4939</v>
      </c>
      <c r="B4893" s="1" t="str">
        <f>"20826406.2"</f>
        <v>20826406.2</v>
      </c>
      <c r="C4893" t="s">
        <v>4561</v>
      </c>
      <c r="D4893" t="s">
        <v>4945</v>
      </c>
      <c r="E4893" s="2"/>
      <c r="F4893"/>
      <c r="G4893" t="s">
        <v>1141</v>
      </c>
      <c r="H4893" t="s">
        <v>2539</v>
      </c>
      <c r="I4893"/>
    </row>
    <row r="4894" spans="1:9">
      <c r="A4894" t="s">
        <v>4939</v>
      </c>
      <c r="B4894" s="1" t="str">
        <f>"20179045"</f>
        <v>20179045</v>
      </c>
      <c r="C4894" t="s">
        <v>4561</v>
      </c>
      <c r="D4894" t="s">
        <v>4946</v>
      </c>
      <c r="E4894" s="2"/>
      <c r="F4894"/>
      <c r="G4894" t="s">
        <v>3990</v>
      </c>
      <c r="H4894" t="s">
        <v>3990</v>
      </c>
      <c r="I4894"/>
    </row>
    <row r="4895" spans="1:9">
      <c r="A4895" t="s">
        <v>4947</v>
      </c>
      <c r="B4895" s="1" t="str">
        <f>"12036204"</f>
        <v>12036204</v>
      </c>
      <c r="C4895" t="s">
        <v>260</v>
      </c>
      <c r="D4895" t="s">
        <v>4948</v>
      </c>
      <c r="E4895" s="2"/>
      <c r="F4895"/>
      <c r="G4895" t="s">
        <v>4949</v>
      </c>
      <c r="H4895" t="s">
        <v>2539</v>
      </c>
      <c r="I4895"/>
    </row>
    <row r="4896" spans="1:9">
      <c r="A4896" t="s">
        <v>4947</v>
      </c>
      <c r="B4896" s="1" t="str">
        <f>"20206888"</f>
        <v>20206888</v>
      </c>
      <c r="C4896" t="s">
        <v>260</v>
      </c>
      <c r="D4896" t="s">
        <v>4950</v>
      </c>
      <c r="E4896" s="2"/>
      <c r="F4896"/>
      <c r="G4896" t="s">
        <v>695</v>
      </c>
      <c r="H4896" t="s">
        <v>695</v>
      </c>
      <c r="I4896"/>
    </row>
    <row r="4897" spans="1:9">
      <c r="A4897" t="s">
        <v>4947</v>
      </c>
      <c r="B4897" s="1" t="str">
        <f>"12809645"</f>
        <v>12809645</v>
      </c>
      <c r="C4897" t="s">
        <v>260</v>
      </c>
      <c r="D4897" t="s">
        <v>4951</v>
      </c>
      <c r="E4897" s="2"/>
      <c r="F4897"/>
      <c r="G4897" t="s">
        <v>4000</v>
      </c>
      <c r="H4897" t="s">
        <v>2539</v>
      </c>
      <c r="I4897"/>
    </row>
    <row r="4898" spans="1:9">
      <c r="A4898" t="s">
        <v>4947</v>
      </c>
      <c r="B4898" s="1" t="str">
        <f>"20206871"</f>
        <v>20206871</v>
      </c>
      <c r="C4898" t="s">
        <v>225</v>
      </c>
      <c r="D4898" t="s">
        <v>4952</v>
      </c>
      <c r="E4898" s="2"/>
      <c r="F4898"/>
      <c r="G4898" t="s">
        <v>80</v>
      </c>
      <c r="H4898" t="s">
        <v>80</v>
      </c>
      <c r="I4898"/>
    </row>
    <row r="4899" spans="1:9">
      <c r="A4899" t="s">
        <v>4947</v>
      </c>
      <c r="B4899" s="1" t="str">
        <f>"24260965"</f>
        <v>24260965</v>
      </c>
      <c r="C4899" t="s">
        <v>4561</v>
      </c>
      <c r="D4899" t="s">
        <v>4953</v>
      </c>
      <c r="E4899" s="2"/>
      <c r="F4899"/>
      <c r="G4899" t="s">
        <v>4954</v>
      </c>
      <c r="H4899" t="s">
        <v>4954</v>
      </c>
      <c r="I4899"/>
    </row>
    <row r="4900" spans="1:9">
      <c r="A4900" t="s">
        <v>4947</v>
      </c>
      <c r="B4900" s="1" t="str">
        <f>"24143862"</f>
        <v>24143862</v>
      </c>
      <c r="C4900" t="s">
        <v>4561</v>
      </c>
      <c r="D4900" t="s">
        <v>4955</v>
      </c>
      <c r="E4900" s="2"/>
      <c r="F4900"/>
      <c r="G4900" t="s">
        <v>177</v>
      </c>
      <c r="H4900" t="s">
        <v>177</v>
      </c>
      <c r="I4900"/>
    </row>
    <row r="4901" spans="1:9">
      <c r="A4901" t="s">
        <v>4956</v>
      </c>
      <c r="B4901" s="1" t="str">
        <f>"11016037"</f>
        <v>11016037</v>
      </c>
      <c r="C4901" t="s">
        <v>260</v>
      </c>
      <c r="D4901" t="s">
        <v>4957</v>
      </c>
      <c r="E4901" s="2"/>
      <c r="F4901" t="s">
        <v>4958</v>
      </c>
      <c r="G4901" t="s">
        <v>4959</v>
      </c>
      <c r="H4901" t="s">
        <v>4960</v>
      </c>
      <c r="I4901"/>
    </row>
    <row r="4902" spans="1:9">
      <c r="A4902" t="s">
        <v>4956</v>
      </c>
      <c r="B4902" s="1" t="str">
        <f>"11016036"</f>
        <v>11016036</v>
      </c>
      <c r="C4902" t="s">
        <v>260</v>
      </c>
      <c r="D4902" t="s">
        <v>4961</v>
      </c>
      <c r="E4902" s="2"/>
      <c r="F4902" t="s">
        <v>4958</v>
      </c>
      <c r="G4902" t="s">
        <v>4959</v>
      </c>
      <c r="H4902" t="s">
        <v>4960</v>
      </c>
      <c r="I4902"/>
    </row>
    <row r="4903" spans="1:9">
      <c r="A4903" t="s">
        <v>4956</v>
      </c>
      <c r="B4903" s="1" t="str">
        <f>"11016212"</f>
        <v>11016212</v>
      </c>
      <c r="C4903" t="s">
        <v>260</v>
      </c>
      <c r="D4903" t="s">
        <v>4962</v>
      </c>
      <c r="E4903" s="2"/>
      <c r="F4903"/>
      <c r="G4903" t="s">
        <v>4963</v>
      </c>
      <c r="H4903" t="s">
        <v>4960</v>
      </c>
      <c r="I4903"/>
    </row>
    <row r="4904" spans="1:9">
      <c r="A4904" t="s">
        <v>4956</v>
      </c>
      <c r="B4904" s="1" t="str">
        <f>"11016210"</f>
        <v>11016210</v>
      </c>
      <c r="C4904" t="s">
        <v>260</v>
      </c>
      <c r="D4904" t="s">
        <v>4964</v>
      </c>
      <c r="E4904" s="2"/>
      <c r="F4904"/>
      <c r="G4904" t="s">
        <v>4963</v>
      </c>
      <c r="H4904" t="s">
        <v>4960</v>
      </c>
      <c r="I4904"/>
    </row>
    <row r="4905" spans="1:9">
      <c r="A4905" t="s">
        <v>4956</v>
      </c>
      <c r="B4905" s="1" t="str">
        <f>"11016290"</f>
        <v>11016290</v>
      </c>
      <c r="C4905" t="s">
        <v>260</v>
      </c>
      <c r="D4905" t="s">
        <v>4965</v>
      </c>
      <c r="E4905" s="2"/>
      <c r="F4905"/>
      <c r="G4905" t="s">
        <v>4963</v>
      </c>
      <c r="H4905" t="s">
        <v>4960</v>
      </c>
      <c r="I4905"/>
    </row>
    <row r="4906" spans="1:9">
      <c r="A4906" t="s">
        <v>4956</v>
      </c>
      <c r="B4906" s="1" t="str">
        <f>"11016298"</f>
        <v>11016298</v>
      </c>
      <c r="C4906" t="s">
        <v>260</v>
      </c>
      <c r="D4906" t="s">
        <v>4966</v>
      </c>
      <c r="E4906" s="2"/>
      <c r="F4906" t="s">
        <v>4958</v>
      </c>
      <c r="G4906" t="s">
        <v>4967</v>
      </c>
      <c r="H4906" t="s">
        <v>4960</v>
      </c>
      <c r="I4906"/>
    </row>
    <row r="4907" spans="1:9">
      <c r="A4907" t="s">
        <v>4956</v>
      </c>
      <c r="B4907" s="1" t="str">
        <f>"11016295"</f>
        <v>11016295</v>
      </c>
      <c r="C4907" t="s">
        <v>260</v>
      </c>
      <c r="D4907" t="s">
        <v>4968</v>
      </c>
      <c r="E4907" s="2"/>
      <c r="F4907"/>
      <c r="G4907" t="s">
        <v>4963</v>
      </c>
      <c r="H4907" t="s">
        <v>4960</v>
      </c>
      <c r="I4907"/>
    </row>
    <row r="4908" spans="1:9">
      <c r="A4908" t="s">
        <v>4956</v>
      </c>
      <c r="B4908" s="1" t="str">
        <f>"11016299"</f>
        <v>11016299</v>
      </c>
      <c r="C4908" t="s">
        <v>260</v>
      </c>
      <c r="D4908" t="s">
        <v>4969</v>
      </c>
      <c r="E4908" s="2"/>
      <c r="F4908"/>
      <c r="G4908" t="s">
        <v>4970</v>
      </c>
      <c r="H4908" t="s">
        <v>4960</v>
      </c>
      <c r="I4908"/>
    </row>
    <row r="4909" spans="1:9">
      <c r="A4909" t="s">
        <v>4971</v>
      </c>
      <c r="B4909" s="1" t="str">
        <f>"11016052"</f>
        <v>11016052</v>
      </c>
      <c r="C4909" t="s">
        <v>260</v>
      </c>
      <c r="D4909" t="s">
        <v>4972</v>
      </c>
      <c r="E4909" s="2"/>
      <c r="F4909" t="s">
        <v>4958</v>
      </c>
      <c r="G4909" t="s">
        <v>4973</v>
      </c>
      <c r="H4909" t="s">
        <v>4960</v>
      </c>
      <c r="I4909"/>
    </row>
    <row r="4910" spans="1:9">
      <c r="A4910" t="s">
        <v>4956</v>
      </c>
      <c r="B4910" s="1" t="str">
        <f>"11016300"</f>
        <v>11016300</v>
      </c>
      <c r="C4910" t="s">
        <v>260</v>
      </c>
      <c r="D4910" t="s">
        <v>4974</v>
      </c>
      <c r="E4910" s="2"/>
      <c r="F4910"/>
      <c r="G4910" t="s">
        <v>4967</v>
      </c>
      <c r="H4910" t="s">
        <v>4960</v>
      </c>
      <c r="I4910"/>
    </row>
    <row r="4911" spans="1:9">
      <c r="A4911" t="s">
        <v>4956</v>
      </c>
      <c r="B4911" s="1" t="str">
        <f>"11016301"</f>
        <v>11016301</v>
      </c>
      <c r="C4911" t="s">
        <v>260</v>
      </c>
      <c r="D4911" t="s">
        <v>4975</v>
      </c>
      <c r="E4911" s="2"/>
      <c r="F4911"/>
      <c r="G4911" t="s">
        <v>4967</v>
      </c>
      <c r="H4911" t="s">
        <v>4960</v>
      </c>
      <c r="I4911"/>
    </row>
    <row r="4912" spans="1:9">
      <c r="A4912" t="s">
        <v>4956</v>
      </c>
      <c r="B4912" s="1" t="str">
        <f>"11016009"</f>
        <v>11016009</v>
      </c>
      <c r="C4912" t="s">
        <v>260</v>
      </c>
      <c r="D4912" t="s">
        <v>4976</v>
      </c>
      <c r="E4912" s="2"/>
      <c r="F4912"/>
      <c r="G4912" t="s">
        <v>4963</v>
      </c>
      <c r="H4912" t="s">
        <v>4960</v>
      </c>
      <c r="I4912"/>
    </row>
    <row r="4913" spans="1:9">
      <c r="A4913" t="s">
        <v>4956</v>
      </c>
      <c r="B4913" s="1" t="str">
        <f>"11016044"</f>
        <v>11016044</v>
      </c>
      <c r="C4913" t="s">
        <v>260</v>
      </c>
      <c r="D4913" t="s">
        <v>4977</v>
      </c>
      <c r="E4913" s="2"/>
      <c r="F4913" t="s">
        <v>4958</v>
      </c>
      <c r="G4913"/>
      <c r="H4913" t="s">
        <v>4960</v>
      </c>
      <c r="I4913"/>
    </row>
    <row r="4914" spans="1:9">
      <c r="A4914" t="s">
        <v>4956</v>
      </c>
      <c r="B4914" s="1" t="str">
        <f>"11016204"</f>
        <v>11016204</v>
      </c>
      <c r="C4914" t="s">
        <v>260</v>
      </c>
      <c r="D4914" t="s">
        <v>4978</v>
      </c>
      <c r="E4914" s="2"/>
      <c r="F4914"/>
      <c r="G4914" t="s">
        <v>4963</v>
      </c>
      <c r="H4914" t="s">
        <v>4960</v>
      </c>
      <c r="I4914"/>
    </row>
    <row r="4915" spans="1:9">
      <c r="A4915" t="s">
        <v>4956</v>
      </c>
      <c r="B4915" s="1" t="str">
        <f>"11016201"</f>
        <v>11016201</v>
      </c>
      <c r="C4915" t="s">
        <v>260</v>
      </c>
      <c r="D4915" t="s">
        <v>4979</v>
      </c>
      <c r="E4915" s="2"/>
      <c r="F4915"/>
      <c r="G4915" t="s">
        <v>4963</v>
      </c>
      <c r="H4915" t="s">
        <v>4960</v>
      </c>
      <c r="I4915"/>
    </row>
    <row r="4916" spans="1:9">
      <c r="A4916" t="s">
        <v>4956</v>
      </c>
      <c r="B4916" s="1" t="str">
        <f>"11016012"</f>
        <v>11016012</v>
      </c>
      <c r="C4916" t="s">
        <v>260</v>
      </c>
      <c r="D4916" t="s">
        <v>4980</v>
      </c>
      <c r="E4916" s="2"/>
      <c r="F4916"/>
      <c r="G4916" t="s">
        <v>4981</v>
      </c>
      <c r="H4916" t="s">
        <v>4960</v>
      </c>
      <c r="I4916"/>
    </row>
    <row r="4917" spans="1:9">
      <c r="A4917" t="s">
        <v>4956</v>
      </c>
      <c r="B4917" s="1" t="str">
        <f>"11016010"</f>
        <v>11016010</v>
      </c>
      <c r="C4917" t="s">
        <v>260</v>
      </c>
      <c r="D4917" t="s">
        <v>4982</v>
      </c>
      <c r="E4917" s="2"/>
      <c r="F4917"/>
      <c r="G4917" t="s">
        <v>4981</v>
      </c>
      <c r="H4917" t="s">
        <v>4960</v>
      </c>
      <c r="I4917"/>
    </row>
    <row r="4918" spans="1:9">
      <c r="A4918" t="s">
        <v>4956</v>
      </c>
      <c r="B4918" s="1" t="str">
        <f>"11016065"</f>
        <v>11016065</v>
      </c>
      <c r="C4918" t="s">
        <v>260</v>
      </c>
      <c r="D4918" t="s">
        <v>4983</v>
      </c>
      <c r="E4918" s="2"/>
      <c r="F4918"/>
      <c r="G4918" t="s">
        <v>4963</v>
      </c>
      <c r="H4918" t="s">
        <v>4960</v>
      </c>
      <c r="I4918"/>
    </row>
    <row r="4919" spans="1:9">
      <c r="A4919" t="s">
        <v>4956</v>
      </c>
      <c r="B4919" s="1" t="str">
        <f>"11016015"</f>
        <v>11016015</v>
      </c>
      <c r="C4919" t="s">
        <v>260</v>
      </c>
      <c r="D4919" t="s">
        <v>4984</v>
      </c>
      <c r="E4919" s="2"/>
      <c r="F4919"/>
      <c r="G4919" t="s">
        <v>4985</v>
      </c>
      <c r="H4919" t="s">
        <v>4960</v>
      </c>
      <c r="I4919"/>
    </row>
    <row r="4920" spans="1:9">
      <c r="A4920" t="s">
        <v>4956</v>
      </c>
      <c r="B4920" s="1" t="str">
        <f>"11016006"</f>
        <v>11016006</v>
      </c>
      <c r="C4920" t="s">
        <v>260</v>
      </c>
      <c r="D4920" t="s">
        <v>4986</v>
      </c>
      <c r="E4920" s="2"/>
      <c r="F4920"/>
      <c r="G4920" t="s">
        <v>4963</v>
      </c>
      <c r="H4920" t="s">
        <v>4960</v>
      </c>
      <c r="I4920"/>
    </row>
    <row r="4921" spans="1:9">
      <c r="A4921" t="s">
        <v>4956</v>
      </c>
      <c r="B4921" s="1" t="str">
        <f>"11016030"</f>
        <v>11016030</v>
      </c>
      <c r="C4921" t="s">
        <v>260</v>
      </c>
      <c r="D4921" t="s">
        <v>4987</v>
      </c>
      <c r="E4921" s="2"/>
      <c r="F4921"/>
      <c r="G4921" t="s">
        <v>4988</v>
      </c>
      <c r="H4921" t="s">
        <v>4960</v>
      </c>
      <c r="I4921"/>
    </row>
    <row r="4922" spans="1:9">
      <c r="A4922" t="s">
        <v>4956</v>
      </c>
      <c r="B4922" s="1" t="str">
        <f>"11016014"</f>
        <v>11016014</v>
      </c>
      <c r="C4922" t="s">
        <v>260</v>
      </c>
      <c r="D4922" t="s">
        <v>4989</v>
      </c>
      <c r="E4922" s="2"/>
      <c r="F4922"/>
      <c r="G4922" t="s">
        <v>4963</v>
      </c>
      <c r="H4922" t="s">
        <v>4960</v>
      </c>
      <c r="I4922"/>
    </row>
    <row r="4923" spans="1:9">
      <c r="A4923" t="s">
        <v>4956</v>
      </c>
      <c r="B4923" s="1" t="str">
        <f>"11016031"</f>
        <v>11016031</v>
      </c>
      <c r="C4923" t="s">
        <v>260</v>
      </c>
      <c r="D4923" t="s">
        <v>4990</v>
      </c>
      <c r="E4923" s="2"/>
      <c r="F4923"/>
      <c r="G4923" t="s">
        <v>4988</v>
      </c>
      <c r="H4923" t="s">
        <v>4960</v>
      </c>
      <c r="I4923"/>
    </row>
    <row r="4924" spans="1:9">
      <c r="A4924" t="s">
        <v>4956</v>
      </c>
      <c r="B4924" s="1" t="str">
        <f>"11016214"</f>
        <v>11016214</v>
      </c>
      <c r="C4924" t="s">
        <v>260</v>
      </c>
      <c r="D4924" t="s">
        <v>4991</v>
      </c>
      <c r="E4924" s="2"/>
      <c r="F4924"/>
      <c r="G4924" t="s">
        <v>4963</v>
      </c>
      <c r="H4924" t="s">
        <v>4960</v>
      </c>
      <c r="I4924"/>
    </row>
    <row r="4925" spans="1:9">
      <c r="A4925" t="s">
        <v>4956</v>
      </c>
      <c r="B4925" s="1" t="str">
        <f>"11016213"</f>
        <v>11016213</v>
      </c>
      <c r="C4925" t="s">
        <v>260</v>
      </c>
      <c r="D4925" t="s">
        <v>4992</v>
      </c>
      <c r="E4925" s="2"/>
      <c r="F4925"/>
      <c r="G4925" t="s">
        <v>4963</v>
      </c>
      <c r="H4925" t="s">
        <v>4960</v>
      </c>
      <c r="I4925"/>
    </row>
    <row r="4926" spans="1:9">
      <c r="A4926" t="s">
        <v>4971</v>
      </c>
      <c r="B4926" s="1" t="str">
        <f>"11555574"</f>
        <v>11555574</v>
      </c>
      <c r="C4926"/>
      <c r="D4926" t="s">
        <v>4993</v>
      </c>
      <c r="E4926" s="2"/>
      <c r="F4926" t="s">
        <v>2997</v>
      </c>
      <c r="G4926"/>
      <c r="H4926" t="s">
        <v>4994</v>
      </c>
      <c r="I4926"/>
    </row>
    <row r="4927" spans="1:9">
      <c r="A4927" t="s">
        <v>4971</v>
      </c>
      <c r="B4927" s="1" t="str">
        <f>"11555576"</f>
        <v>11555576</v>
      </c>
      <c r="C4927"/>
      <c r="D4927" t="s">
        <v>4995</v>
      </c>
      <c r="E4927" s="2"/>
      <c r="F4927" t="s">
        <v>2997</v>
      </c>
      <c r="G4927"/>
      <c r="H4927" t="s">
        <v>4994</v>
      </c>
      <c r="I4927"/>
    </row>
    <row r="4928" spans="1:9">
      <c r="A4928" t="s">
        <v>4956</v>
      </c>
      <c r="B4928" s="1" t="str">
        <f>"11016013"</f>
        <v>11016013</v>
      </c>
      <c r="C4928"/>
      <c r="D4928" t="s">
        <v>4996</v>
      </c>
      <c r="E4928" s="2"/>
      <c r="F4928" t="s">
        <v>2997</v>
      </c>
      <c r="G4928"/>
      <c r="H4928" t="s">
        <v>4960</v>
      </c>
      <c r="I4928"/>
    </row>
    <row r="4929" spans="1:9">
      <c r="A4929" t="s">
        <v>4997</v>
      </c>
      <c r="B4929" s="1" t="str">
        <f>"11058933"</f>
        <v>11058933</v>
      </c>
      <c r="C4929" t="s">
        <v>260</v>
      </c>
      <c r="D4929" t="s">
        <v>4998</v>
      </c>
      <c r="E4929" s="2"/>
      <c r="F4929"/>
      <c r="G4929" t="s">
        <v>4963</v>
      </c>
      <c r="H4929" t="s">
        <v>4960</v>
      </c>
      <c r="I4929"/>
    </row>
    <row r="4930" spans="1:9">
      <c r="A4930" t="s">
        <v>4997</v>
      </c>
      <c r="B4930" s="1" t="str">
        <f>"11016225"</f>
        <v>11016225</v>
      </c>
      <c r="C4930" t="s">
        <v>260</v>
      </c>
      <c r="D4930" t="s">
        <v>4999</v>
      </c>
      <c r="E4930" s="2"/>
      <c r="F4930"/>
      <c r="G4930" t="s">
        <v>4119</v>
      </c>
      <c r="H4930" t="s">
        <v>218</v>
      </c>
      <c r="I4930"/>
    </row>
    <row r="4931" spans="1:9">
      <c r="A4931" t="s">
        <v>4997</v>
      </c>
      <c r="B4931" s="1" t="str">
        <f>"11016256"</f>
        <v>11016256</v>
      </c>
      <c r="C4931" t="s">
        <v>260</v>
      </c>
      <c r="D4931" t="s">
        <v>5000</v>
      </c>
      <c r="E4931" s="2"/>
      <c r="F4931" t="s">
        <v>5001</v>
      </c>
      <c r="G4931" t="s">
        <v>4119</v>
      </c>
      <c r="H4931" t="s">
        <v>218</v>
      </c>
      <c r="I4931"/>
    </row>
    <row r="4932" spans="1:9">
      <c r="A4932" t="s">
        <v>5002</v>
      </c>
      <c r="B4932" s="1" t="str">
        <f>"11016807"</f>
        <v>11016807</v>
      </c>
      <c r="C4932" t="s">
        <v>260</v>
      </c>
      <c r="D4932" t="s">
        <v>5003</v>
      </c>
      <c r="E4932" s="2"/>
      <c r="F4932" t="s">
        <v>681</v>
      </c>
      <c r="G4932" t="s">
        <v>227</v>
      </c>
      <c r="H4932" t="s">
        <v>218</v>
      </c>
      <c r="I4932"/>
    </row>
    <row r="4933" spans="1:9">
      <c r="A4933" t="s">
        <v>5002</v>
      </c>
      <c r="B4933" s="1" t="str">
        <f>"11016809"</f>
        <v>11016809</v>
      </c>
      <c r="C4933" t="s">
        <v>260</v>
      </c>
      <c r="D4933" t="s">
        <v>5004</v>
      </c>
      <c r="E4933" s="2"/>
      <c r="F4933" t="s">
        <v>5005</v>
      </c>
      <c r="G4933"/>
      <c r="H4933" t="s">
        <v>5006</v>
      </c>
      <c r="I4933"/>
    </row>
    <row r="4934" spans="1:9">
      <c r="A4934" t="s">
        <v>5002</v>
      </c>
      <c r="B4934" s="1" t="str">
        <f>"11016803"</f>
        <v>11016803</v>
      </c>
      <c r="C4934" t="s">
        <v>260</v>
      </c>
      <c r="D4934" t="s">
        <v>5007</v>
      </c>
      <c r="E4934" s="2"/>
      <c r="F4934"/>
      <c r="G4934" t="s">
        <v>227</v>
      </c>
      <c r="H4934" t="s">
        <v>218</v>
      </c>
      <c r="I4934"/>
    </row>
    <row r="4935" spans="1:9">
      <c r="A4935" t="s">
        <v>4971</v>
      </c>
      <c r="B4935" s="1" t="str">
        <f>"11016052"</f>
        <v>11016052</v>
      </c>
      <c r="C4935" t="s">
        <v>260</v>
      </c>
      <c r="D4935" t="s">
        <v>4972</v>
      </c>
      <c r="E4935" s="2"/>
      <c r="F4935" t="s">
        <v>4958</v>
      </c>
      <c r="G4935" t="s">
        <v>4973</v>
      </c>
      <c r="H4935" t="s">
        <v>4960</v>
      </c>
      <c r="I4935"/>
    </row>
    <row r="4936" spans="1:9">
      <c r="A4936" t="s">
        <v>4971</v>
      </c>
      <c r="B4936" s="1" t="str">
        <f>"11555574"</f>
        <v>11555574</v>
      </c>
      <c r="C4936"/>
      <c r="D4936" t="s">
        <v>4993</v>
      </c>
      <c r="E4936" s="2"/>
      <c r="F4936" t="s">
        <v>2997</v>
      </c>
      <c r="G4936"/>
      <c r="H4936" t="s">
        <v>4994</v>
      </c>
      <c r="I4936"/>
    </row>
    <row r="4937" spans="1:9">
      <c r="A4937" t="s">
        <v>4971</v>
      </c>
      <c r="B4937" s="1" t="str">
        <f>"11555576"</f>
        <v>11555576</v>
      </c>
      <c r="C4937"/>
      <c r="D4937" t="s">
        <v>4995</v>
      </c>
      <c r="E4937" s="2"/>
      <c r="F4937" t="s">
        <v>2997</v>
      </c>
      <c r="G4937"/>
      <c r="H4937" t="s">
        <v>4994</v>
      </c>
      <c r="I4937"/>
    </row>
    <row r="4938" spans="1:9">
      <c r="A4938" t="s">
        <v>4971</v>
      </c>
      <c r="B4938" s="1" t="str">
        <f>"11568947"</f>
        <v>11568947</v>
      </c>
      <c r="C4938"/>
      <c r="D4938" t="s">
        <v>5008</v>
      </c>
      <c r="E4938" s="2"/>
      <c r="F4938" t="s">
        <v>2997</v>
      </c>
      <c r="G4938"/>
      <c r="H4938" t="s">
        <v>5009</v>
      </c>
      <c r="I4938"/>
    </row>
    <row r="4939" spans="1:9">
      <c r="A4939" t="s">
        <v>4971</v>
      </c>
      <c r="B4939" s="1" t="str">
        <f>"11568946"</f>
        <v>11568946</v>
      </c>
      <c r="C4939"/>
      <c r="D4939" t="s">
        <v>5010</v>
      </c>
      <c r="E4939" s="2"/>
      <c r="F4939" t="s">
        <v>2997</v>
      </c>
      <c r="G4939"/>
      <c r="H4939" t="s">
        <v>5009</v>
      </c>
      <c r="I4939"/>
    </row>
    <row r="4940" spans="1:9">
      <c r="A4940" t="s">
        <v>4971</v>
      </c>
      <c r="B4940" s="1" t="str">
        <f>"11568949"</f>
        <v>11568949</v>
      </c>
      <c r="C4940"/>
      <c r="D4940" t="s">
        <v>5011</v>
      </c>
      <c r="E4940" s="2"/>
      <c r="F4940" t="s">
        <v>2997</v>
      </c>
      <c r="G4940"/>
      <c r="H4940" t="s">
        <v>5009</v>
      </c>
      <c r="I4940"/>
    </row>
    <row r="4941" spans="1:9">
      <c r="A4941" t="s">
        <v>4971</v>
      </c>
      <c r="B4941" s="1" t="str">
        <f>"11568948"</f>
        <v>11568948</v>
      </c>
      <c r="C4941"/>
      <c r="D4941" t="s">
        <v>5012</v>
      </c>
      <c r="E4941" s="2"/>
      <c r="F4941" t="s">
        <v>2997</v>
      </c>
      <c r="G4941"/>
      <c r="H4941" t="s">
        <v>5009</v>
      </c>
      <c r="I4941"/>
    </row>
    <row r="4942" spans="1:9">
      <c r="A4942" t="s">
        <v>4971</v>
      </c>
      <c r="B4942" s="1" t="str">
        <f>"11568944"</f>
        <v>11568944</v>
      </c>
      <c r="C4942"/>
      <c r="D4942" t="s">
        <v>5013</v>
      </c>
      <c r="E4942" s="2"/>
      <c r="F4942" t="s">
        <v>2997</v>
      </c>
      <c r="G4942"/>
      <c r="H4942" t="s">
        <v>5009</v>
      </c>
      <c r="I4942"/>
    </row>
    <row r="4943" spans="1:9">
      <c r="A4943" t="s">
        <v>4971</v>
      </c>
      <c r="B4943" s="1" t="str">
        <f>"11568945"</f>
        <v>11568945</v>
      </c>
      <c r="C4943"/>
      <c r="D4943" t="s">
        <v>5014</v>
      </c>
      <c r="E4943" s="2"/>
      <c r="F4943" t="s">
        <v>2997</v>
      </c>
      <c r="G4943"/>
      <c r="H4943" t="s">
        <v>5009</v>
      </c>
      <c r="I4943"/>
    </row>
    <row r="4944" spans="1:9">
      <c r="A4944" t="s">
        <v>5015</v>
      </c>
      <c r="B4944" s="1" t="str">
        <f>"22565344"</f>
        <v>22565344</v>
      </c>
      <c r="C4944" t="s">
        <v>209</v>
      </c>
      <c r="D4944" t="s">
        <v>5016</v>
      </c>
      <c r="E4944" s="2"/>
      <c r="F4944" t="s">
        <v>1148</v>
      </c>
      <c r="G4944" t="s">
        <v>616</v>
      </c>
      <c r="H4944" t="s">
        <v>616</v>
      </c>
      <c r="I4944"/>
    </row>
    <row r="4945" spans="1:9">
      <c r="A4945" t="s">
        <v>5015</v>
      </c>
      <c r="B4945" s="1" t="str">
        <f>"22565345"</f>
        <v>22565345</v>
      </c>
      <c r="C4945" t="s">
        <v>209</v>
      </c>
      <c r="D4945" t="s">
        <v>5017</v>
      </c>
      <c r="E4945" s="2"/>
      <c r="F4945" t="s">
        <v>1148</v>
      </c>
      <c r="G4945" t="s">
        <v>616</v>
      </c>
      <c r="H4945" t="s">
        <v>616</v>
      </c>
      <c r="I4945"/>
    </row>
    <row r="4946" spans="1:9">
      <c r="A4946" t="s">
        <v>5015</v>
      </c>
      <c r="B4946" s="1" t="str">
        <f>"20063925"</f>
        <v>20063925</v>
      </c>
      <c r="C4946" t="s">
        <v>209</v>
      </c>
      <c r="D4946" t="s">
        <v>5018</v>
      </c>
      <c r="E4946" s="2"/>
      <c r="F4946" t="s">
        <v>4854</v>
      </c>
      <c r="G4946"/>
      <c r="H4946" t="s">
        <v>5019</v>
      </c>
      <c r="I4946"/>
    </row>
    <row r="4947" spans="1:9">
      <c r="A4947" t="s">
        <v>5015</v>
      </c>
      <c r="B4947" s="1" t="str">
        <f>"20185560"</f>
        <v>20185560</v>
      </c>
      <c r="C4947" t="s">
        <v>5020</v>
      </c>
      <c r="D4947" t="s">
        <v>5021</v>
      </c>
      <c r="E4947" s="2"/>
      <c r="F4947" t="s">
        <v>52</v>
      </c>
      <c r="G4947" t="s">
        <v>4632</v>
      </c>
      <c r="H4947" t="s">
        <v>4632</v>
      </c>
      <c r="I4947"/>
    </row>
    <row r="4948" spans="1:9">
      <c r="A4948" t="s">
        <v>5015</v>
      </c>
      <c r="B4948" s="1" t="str">
        <f>"20185561"</f>
        <v>20185561</v>
      </c>
      <c r="C4948" t="s">
        <v>5020</v>
      </c>
      <c r="D4948" t="s">
        <v>5022</v>
      </c>
      <c r="E4948" s="2"/>
      <c r="F4948" t="s">
        <v>52</v>
      </c>
      <c r="G4948" t="s">
        <v>4632</v>
      </c>
      <c r="H4948" t="s">
        <v>4632</v>
      </c>
      <c r="I4948"/>
    </row>
    <row r="4949" spans="1:9">
      <c r="A4949" t="s">
        <v>5015</v>
      </c>
      <c r="B4949" s="1" t="str">
        <f>"20185563"</f>
        <v>20185563</v>
      </c>
      <c r="C4949" t="s">
        <v>5020</v>
      </c>
      <c r="D4949" t="s">
        <v>5023</v>
      </c>
      <c r="E4949" s="2"/>
      <c r="F4949" t="s">
        <v>52</v>
      </c>
      <c r="G4949" t="s">
        <v>4632</v>
      </c>
      <c r="H4949" t="s">
        <v>4632</v>
      </c>
      <c r="I4949"/>
    </row>
    <row r="4950" spans="1:9">
      <c r="A4950" t="s">
        <v>5015</v>
      </c>
      <c r="B4950" s="1" t="str">
        <f>"20185562"</f>
        <v>20185562</v>
      </c>
      <c r="C4950" t="s">
        <v>5020</v>
      </c>
      <c r="D4950" t="s">
        <v>5024</v>
      </c>
      <c r="E4950" s="2"/>
      <c r="F4950" t="s">
        <v>52</v>
      </c>
      <c r="G4950" t="s">
        <v>4632</v>
      </c>
      <c r="H4950" t="s">
        <v>4632</v>
      </c>
      <c r="I4950"/>
    </row>
    <row r="4951" spans="1:9">
      <c r="A4951" t="s">
        <v>5015</v>
      </c>
      <c r="B4951" s="1" t="str">
        <f>"20065493"</f>
        <v>20065493</v>
      </c>
      <c r="C4951" t="s">
        <v>5025</v>
      </c>
      <c r="D4951" t="s">
        <v>5026</v>
      </c>
      <c r="E4951" s="2"/>
      <c r="F4951" t="s">
        <v>978</v>
      </c>
      <c r="G4951"/>
      <c r="H4951" t="s">
        <v>5019</v>
      </c>
      <c r="I4951"/>
    </row>
    <row r="4952" spans="1:9">
      <c r="A4952" t="s">
        <v>5015</v>
      </c>
      <c r="B4952" s="1" t="str">
        <f>"20091187"</f>
        <v>20091187</v>
      </c>
      <c r="C4952" t="s">
        <v>225</v>
      </c>
      <c r="D4952" t="s">
        <v>5027</v>
      </c>
      <c r="E4952" s="2"/>
      <c r="F4952" t="s">
        <v>1862</v>
      </c>
      <c r="G4952" t="s">
        <v>1722</v>
      </c>
      <c r="H4952" t="s">
        <v>1722</v>
      </c>
      <c r="I4952"/>
    </row>
    <row r="4953" spans="1:9">
      <c r="A4953" t="s">
        <v>5015</v>
      </c>
      <c r="B4953" s="1" t="str">
        <f>"22565343"</f>
        <v>22565343</v>
      </c>
      <c r="C4953" t="s">
        <v>225</v>
      </c>
      <c r="D4953" t="s">
        <v>5028</v>
      </c>
      <c r="E4953" s="2"/>
      <c r="F4953" t="s">
        <v>2137</v>
      </c>
      <c r="G4953" t="s">
        <v>175</v>
      </c>
      <c r="H4953" t="s">
        <v>997</v>
      </c>
      <c r="I4953"/>
    </row>
    <row r="4954" spans="1:9">
      <c r="A4954" t="s">
        <v>5015</v>
      </c>
      <c r="B4954" s="1" t="str">
        <f>"20087876"</f>
        <v>20087876</v>
      </c>
      <c r="C4954" t="s">
        <v>225</v>
      </c>
      <c r="D4954" t="s">
        <v>5029</v>
      </c>
      <c r="E4954" s="2"/>
      <c r="F4954" t="s">
        <v>79</v>
      </c>
      <c r="G4954" t="s">
        <v>5030</v>
      </c>
      <c r="H4954" t="s">
        <v>5030</v>
      </c>
      <c r="I4954"/>
    </row>
    <row r="4955" spans="1:9">
      <c r="A4955" t="s">
        <v>5015</v>
      </c>
      <c r="B4955" s="1" t="str">
        <f>"20091101"</f>
        <v>20091101</v>
      </c>
      <c r="C4955" t="s">
        <v>225</v>
      </c>
      <c r="D4955" t="s">
        <v>5029</v>
      </c>
      <c r="E4955" s="2"/>
      <c r="F4955" t="s">
        <v>1862</v>
      </c>
      <c r="G4955" t="s">
        <v>1722</v>
      </c>
      <c r="H4955" t="s">
        <v>1722</v>
      </c>
      <c r="I4955"/>
    </row>
    <row r="4956" spans="1:9">
      <c r="A4956" t="s">
        <v>5015</v>
      </c>
      <c r="B4956" s="1" t="str">
        <f>"20088064"</f>
        <v>20088064</v>
      </c>
      <c r="C4956" t="s">
        <v>225</v>
      </c>
      <c r="D4956" t="s">
        <v>5031</v>
      </c>
      <c r="E4956" s="2"/>
      <c r="F4956" t="s">
        <v>79</v>
      </c>
      <c r="G4956" t="s">
        <v>5030</v>
      </c>
      <c r="H4956" t="s">
        <v>5030</v>
      </c>
      <c r="I4956"/>
    </row>
    <row r="4957" spans="1:9">
      <c r="A4957" t="s">
        <v>5015</v>
      </c>
      <c r="B4957" s="1" t="str">
        <f>"20091163"</f>
        <v>20091163</v>
      </c>
      <c r="C4957" t="s">
        <v>225</v>
      </c>
      <c r="D4957" t="s">
        <v>5032</v>
      </c>
      <c r="E4957" s="2"/>
      <c r="F4957" t="s">
        <v>1862</v>
      </c>
      <c r="G4957" t="s">
        <v>1722</v>
      </c>
      <c r="H4957" t="s">
        <v>1722</v>
      </c>
      <c r="I4957"/>
    </row>
    <row r="4958" spans="1:9">
      <c r="A4958" t="s">
        <v>5015</v>
      </c>
      <c r="B4958" s="1" t="str">
        <f>"20091409"</f>
        <v>20091409</v>
      </c>
      <c r="C4958" t="s">
        <v>225</v>
      </c>
      <c r="D4958" t="s">
        <v>5033</v>
      </c>
      <c r="E4958" s="2"/>
      <c r="F4958" t="s">
        <v>5034</v>
      </c>
      <c r="G4958" t="s">
        <v>517</v>
      </c>
      <c r="H4958" t="s">
        <v>517</v>
      </c>
      <c r="I4958"/>
    </row>
    <row r="4959" spans="1:9">
      <c r="A4959" t="s">
        <v>5015</v>
      </c>
      <c r="B4959" s="1" t="str">
        <f>"20093648"</f>
        <v>20093648</v>
      </c>
      <c r="C4959" t="s">
        <v>225</v>
      </c>
      <c r="D4959" t="s">
        <v>5035</v>
      </c>
      <c r="E4959" s="2"/>
      <c r="F4959" t="s">
        <v>1862</v>
      </c>
      <c r="G4959" t="s">
        <v>1722</v>
      </c>
      <c r="H4959" t="s">
        <v>1722</v>
      </c>
      <c r="I4959"/>
    </row>
    <row r="4960" spans="1:9">
      <c r="A4960" t="s">
        <v>5015</v>
      </c>
      <c r="B4960" s="1" t="str">
        <f>"20091408"</f>
        <v>20091408</v>
      </c>
      <c r="C4960" t="s">
        <v>5036</v>
      </c>
      <c r="D4960" t="s">
        <v>5037</v>
      </c>
      <c r="E4960" s="2"/>
      <c r="F4960" t="s">
        <v>328</v>
      </c>
      <c r="G4960" t="s">
        <v>517</v>
      </c>
      <c r="H4960" t="s">
        <v>517</v>
      </c>
      <c r="I4960"/>
    </row>
    <row r="4961" spans="1:9">
      <c r="A4961" t="s">
        <v>5015</v>
      </c>
      <c r="B4961" s="1" t="str">
        <f>"20091408.2"</f>
        <v>20091408.2</v>
      </c>
      <c r="C4961" t="s">
        <v>5036</v>
      </c>
      <c r="D4961" t="s">
        <v>5037</v>
      </c>
      <c r="E4961" s="2"/>
      <c r="F4961" t="s">
        <v>328</v>
      </c>
      <c r="G4961" t="s">
        <v>517</v>
      </c>
      <c r="H4961" t="s">
        <v>517</v>
      </c>
      <c r="I4961"/>
    </row>
    <row r="4962" spans="1:9">
      <c r="A4962" t="s">
        <v>5038</v>
      </c>
      <c r="B4962" s="1" t="str">
        <f>"20150822"</f>
        <v>20150822</v>
      </c>
      <c r="C4962" t="s">
        <v>5039</v>
      </c>
      <c r="D4962" t="s">
        <v>5040</v>
      </c>
      <c r="E4962" s="2"/>
      <c r="F4962" t="s">
        <v>48</v>
      </c>
      <c r="G4962" t="s">
        <v>5041</v>
      </c>
      <c r="H4962" t="s">
        <v>5041</v>
      </c>
      <c r="I4962"/>
    </row>
    <row r="4963" spans="1:9">
      <c r="A4963" t="s">
        <v>5038</v>
      </c>
      <c r="B4963" s="1" t="str">
        <f>"20074111"</f>
        <v>20074111</v>
      </c>
      <c r="C4963" t="s">
        <v>5039</v>
      </c>
      <c r="D4963" t="s">
        <v>5042</v>
      </c>
      <c r="E4963" s="2"/>
      <c r="F4963" t="s">
        <v>48</v>
      </c>
      <c r="G4963" t="s">
        <v>5041</v>
      </c>
      <c r="H4963" t="s">
        <v>5041</v>
      </c>
      <c r="I4963"/>
    </row>
    <row r="4964" spans="1:9">
      <c r="A4964" t="s">
        <v>5038</v>
      </c>
      <c r="B4964" s="1" t="str">
        <f>"20072452"</f>
        <v>20072452</v>
      </c>
      <c r="C4964" t="s">
        <v>5039</v>
      </c>
      <c r="D4964" t="s">
        <v>5043</v>
      </c>
      <c r="E4964" s="2"/>
      <c r="F4964" t="s">
        <v>48</v>
      </c>
      <c r="G4964" t="s">
        <v>5041</v>
      </c>
      <c r="H4964" t="s">
        <v>5041</v>
      </c>
      <c r="I4964"/>
    </row>
    <row r="4965" spans="1:9">
      <c r="A4965" t="s">
        <v>5038</v>
      </c>
      <c r="B4965" s="1" t="str">
        <f>"20074081"</f>
        <v>20074081</v>
      </c>
      <c r="C4965" t="s">
        <v>5039</v>
      </c>
      <c r="D4965" t="s">
        <v>5044</v>
      </c>
      <c r="E4965" s="2"/>
      <c r="F4965" t="s">
        <v>48</v>
      </c>
      <c r="G4965" t="s">
        <v>5041</v>
      </c>
      <c r="H4965" t="s">
        <v>5041</v>
      </c>
      <c r="I4965"/>
    </row>
    <row r="4966" spans="1:9">
      <c r="A4966" t="s">
        <v>5038</v>
      </c>
      <c r="B4966" s="1" t="str">
        <f>"20590004"</f>
        <v>20590004</v>
      </c>
      <c r="C4966" t="s">
        <v>209</v>
      </c>
      <c r="D4966" t="s">
        <v>5045</v>
      </c>
      <c r="E4966" s="2"/>
      <c r="F4966" t="s">
        <v>105</v>
      </c>
      <c r="G4966" t="s">
        <v>156</v>
      </c>
      <c r="H4966" t="s">
        <v>1722</v>
      </c>
      <c r="I4966"/>
    </row>
    <row r="4967" spans="1:9">
      <c r="A4967" t="s">
        <v>5038</v>
      </c>
      <c r="B4967" s="1" t="str">
        <f>"20590001"</f>
        <v>20590001</v>
      </c>
      <c r="C4967" t="s">
        <v>209</v>
      </c>
      <c r="D4967" t="s">
        <v>5046</v>
      </c>
      <c r="E4967" s="2"/>
      <c r="F4967" t="s">
        <v>105</v>
      </c>
      <c r="G4967" t="s">
        <v>1722</v>
      </c>
      <c r="H4967" t="s">
        <v>1722</v>
      </c>
      <c r="I4967"/>
    </row>
    <row r="4968" spans="1:9">
      <c r="A4968" t="s">
        <v>5038</v>
      </c>
      <c r="B4968" s="1" t="str">
        <f>"20590003"</f>
        <v>20590003</v>
      </c>
      <c r="C4968" t="s">
        <v>209</v>
      </c>
      <c r="D4968" t="s">
        <v>5047</v>
      </c>
      <c r="E4968" s="2"/>
      <c r="F4968" t="s">
        <v>105</v>
      </c>
      <c r="G4968" t="s">
        <v>156</v>
      </c>
      <c r="H4968" t="s">
        <v>1722</v>
      </c>
      <c r="I4968"/>
    </row>
    <row r="4969" spans="1:9">
      <c r="A4969" t="s">
        <v>5038</v>
      </c>
      <c r="B4969" s="1" t="str">
        <f>"20590013"</f>
        <v>20590013</v>
      </c>
      <c r="C4969" t="s">
        <v>209</v>
      </c>
      <c r="D4969" t="s">
        <v>5048</v>
      </c>
      <c r="E4969" s="2"/>
      <c r="F4969" t="s">
        <v>2294</v>
      </c>
      <c r="G4969" t="s">
        <v>4500</v>
      </c>
      <c r="H4969" t="s">
        <v>4500</v>
      </c>
      <c r="I4969"/>
    </row>
    <row r="4970" spans="1:9">
      <c r="A4970" t="s">
        <v>5038</v>
      </c>
      <c r="B4970" s="1" t="str">
        <f>"22601461"</f>
        <v>22601461</v>
      </c>
      <c r="C4970" t="s">
        <v>209</v>
      </c>
      <c r="D4970" t="s">
        <v>5049</v>
      </c>
      <c r="E4970" s="2"/>
      <c r="F4970" t="s">
        <v>4649</v>
      </c>
      <c r="G4970" t="s">
        <v>997</v>
      </c>
      <c r="H4970" t="s">
        <v>997</v>
      </c>
      <c r="I4970"/>
    </row>
    <row r="4971" spans="1:9">
      <c r="A4971" t="s">
        <v>5038</v>
      </c>
      <c r="B4971" s="1" t="str">
        <f>"24371087"</f>
        <v>24371087</v>
      </c>
      <c r="C4971" t="s">
        <v>225</v>
      </c>
      <c r="D4971" t="s">
        <v>5050</v>
      </c>
      <c r="E4971" s="2"/>
      <c r="F4971"/>
      <c r="G4971" t="s">
        <v>795</v>
      </c>
      <c r="H4971" t="s">
        <v>795</v>
      </c>
      <c r="I4971"/>
    </row>
    <row r="4972" spans="1:9">
      <c r="A4972" t="s">
        <v>5038</v>
      </c>
      <c r="B4972" s="1" t="str">
        <f>"26369008"</f>
        <v>26369008</v>
      </c>
      <c r="C4972" t="s">
        <v>225</v>
      </c>
      <c r="D4972" t="s">
        <v>5051</v>
      </c>
      <c r="E4972" s="2"/>
      <c r="F4972" t="s">
        <v>5052</v>
      </c>
      <c r="G4972" t="s">
        <v>517</v>
      </c>
      <c r="H4972" t="s">
        <v>517</v>
      </c>
      <c r="I4972"/>
    </row>
    <row r="4973" spans="1:9">
      <c r="A4973" t="s">
        <v>5038</v>
      </c>
      <c r="B4973" s="1" t="str">
        <f>"20091330"</f>
        <v>20091330</v>
      </c>
      <c r="C4973" t="s">
        <v>225</v>
      </c>
      <c r="D4973" t="s">
        <v>5053</v>
      </c>
      <c r="E4973" s="2"/>
      <c r="F4973" t="s">
        <v>5054</v>
      </c>
      <c r="G4973" t="s">
        <v>122</v>
      </c>
      <c r="H4973" t="s">
        <v>122</v>
      </c>
      <c r="I4973"/>
    </row>
    <row r="4974" spans="1:9">
      <c r="A4974" t="s">
        <v>5038</v>
      </c>
      <c r="B4974" s="1" t="str">
        <f>"20097851"</f>
        <v>20097851</v>
      </c>
      <c r="C4974" t="s">
        <v>225</v>
      </c>
      <c r="D4974" t="s">
        <v>5055</v>
      </c>
      <c r="E4974" s="2"/>
      <c r="F4974" t="s">
        <v>5054</v>
      </c>
      <c r="G4974" t="s">
        <v>122</v>
      </c>
      <c r="H4974" t="s">
        <v>122</v>
      </c>
      <c r="I4974"/>
    </row>
    <row r="4975" spans="1:9">
      <c r="A4975" t="s">
        <v>5038</v>
      </c>
      <c r="B4975" s="1" t="str">
        <f>"20091323"</f>
        <v>20091323</v>
      </c>
      <c r="C4975" t="s">
        <v>225</v>
      </c>
      <c r="D4975" t="s">
        <v>5056</v>
      </c>
      <c r="E4975" s="2"/>
      <c r="F4975" t="s">
        <v>5054</v>
      </c>
      <c r="G4975" t="s">
        <v>122</v>
      </c>
      <c r="H4975" t="s">
        <v>122</v>
      </c>
      <c r="I4975"/>
    </row>
    <row r="4976" spans="1:9">
      <c r="A4976" t="s">
        <v>5038</v>
      </c>
      <c r="B4976" s="1" t="str">
        <f>"20065386"</f>
        <v>20065386</v>
      </c>
      <c r="C4976" t="s">
        <v>225</v>
      </c>
      <c r="D4976" t="s">
        <v>5057</v>
      </c>
      <c r="E4976" s="2"/>
      <c r="F4976" t="s">
        <v>5054</v>
      </c>
      <c r="G4976" t="s">
        <v>122</v>
      </c>
      <c r="H4976" t="s">
        <v>122</v>
      </c>
      <c r="I4976"/>
    </row>
    <row r="4977" spans="1:9">
      <c r="A4977" t="s">
        <v>5038</v>
      </c>
      <c r="B4977" s="1" t="str">
        <f>"20590016"</f>
        <v>20590016</v>
      </c>
      <c r="C4977" t="s">
        <v>225</v>
      </c>
      <c r="D4977" t="s">
        <v>5058</v>
      </c>
      <c r="E4977" s="2"/>
      <c r="F4977" t="s">
        <v>978</v>
      </c>
      <c r="G4977" t="s">
        <v>2539</v>
      </c>
      <c r="H4977" t="s">
        <v>2539</v>
      </c>
      <c r="I4977"/>
    </row>
    <row r="4978" spans="1:9">
      <c r="A4978" t="s">
        <v>5038</v>
      </c>
      <c r="B4978" s="1" t="str">
        <f>"20590017"</f>
        <v>20590017</v>
      </c>
      <c r="C4978" t="s">
        <v>225</v>
      </c>
      <c r="D4978" t="s">
        <v>5059</v>
      </c>
      <c r="E4978" s="2"/>
      <c r="F4978" t="s">
        <v>978</v>
      </c>
      <c r="G4978" t="s">
        <v>2539</v>
      </c>
      <c r="H4978" t="s">
        <v>2539</v>
      </c>
      <c r="I4978"/>
    </row>
    <row r="4979" spans="1:9">
      <c r="A4979" t="s">
        <v>5038</v>
      </c>
      <c r="B4979" s="1" t="str">
        <f>"20065270"</f>
        <v>20065270</v>
      </c>
      <c r="C4979" t="s">
        <v>225</v>
      </c>
      <c r="D4979" t="s">
        <v>5060</v>
      </c>
      <c r="E4979" s="2"/>
      <c r="F4979"/>
      <c r="G4979" t="s">
        <v>695</v>
      </c>
      <c r="H4979" t="s">
        <v>695</v>
      </c>
      <c r="I4979"/>
    </row>
    <row r="4980" spans="1:9">
      <c r="A4980" t="s">
        <v>5038</v>
      </c>
      <c r="B4980" s="1" t="str">
        <f>"20534783"</f>
        <v>20534783</v>
      </c>
      <c r="C4980" t="s">
        <v>225</v>
      </c>
      <c r="D4980" t="s">
        <v>5061</v>
      </c>
      <c r="E4980" s="2"/>
      <c r="F4980" t="s">
        <v>5062</v>
      </c>
      <c r="G4980" t="s">
        <v>795</v>
      </c>
      <c r="H4980" t="s">
        <v>940</v>
      </c>
      <c r="I4980"/>
    </row>
    <row r="4981" spans="1:9">
      <c r="A4981" t="s">
        <v>5063</v>
      </c>
      <c r="B4981" s="1" t="str">
        <f>"20172538"</f>
        <v>20172538</v>
      </c>
      <c r="C4981" t="s">
        <v>209</v>
      </c>
      <c r="D4981" t="s">
        <v>5064</v>
      </c>
      <c r="E4981" s="2"/>
      <c r="F4981" t="s">
        <v>5065</v>
      </c>
      <c r="G4981" t="s">
        <v>517</v>
      </c>
      <c r="H4981" t="s">
        <v>517</v>
      </c>
      <c r="I4981"/>
    </row>
    <row r="4982" spans="1:9">
      <c r="A4982" t="s">
        <v>5063</v>
      </c>
      <c r="B4982" s="1" t="str">
        <f>"20172539"</f>
        <v>20172539</v>
      </c>
      <c r="C4982" t="s">
        <v>209</v>
      </c>
      <c r="D4982" t="s">
        <v>5066</v>
      </c>
      <c r="E4982" s="2"/>
      <c r="F4982" t="s">
        <v>52</v>
      </c>
      <c r="G4982" t="s">
        <v>54</v>
      </c>
      <c r="H4982" t="s">
        <v>54</v>
      </c>
      <c r="I4982"/>
    </row>
    <row r="4983" spans="1:9">
      <c r="A4983" t="s">
        <v>5063</v>
      </c>
      <c r="B4983" s="1" t="str">
        <f>"20172536"</f>
        <v>20172536</v>
      </c>
      <c r="C4983" t="s">
        <v>209</v>
      </c>
      <c r="D4983" t="s">
        <v>5067</v>
      </c>
      <c r="E4983" s="2"/>
      <c r="F4983" t="s">
        <v>1148</v>
      </c>
      <c r="G4983" t="s">
        <v>175</v>
      </c>
      <c r="H4983" t="s">
        <v>175</v>
      </c>
      <c r="I4983"/>
    </row>
    <row r="4984" spans="1:9">
      <c r="A4984" t="s">
        <v>5063</v>
      </c>
      <c r="B4984" s="1" t="str">
        <f>"20533182"</f>
        <v>20533182</v>
      </c>
      <c r="C4984" t="s">
        <v>209</v>
      </c>
      <c r="D4984" t="s">
        <v>5068</v>
      </c>
      <c r="E4984" s="2"/>
      <c r="F4984" t="s">
        <v>278</v>
      </c>
      <c r="G4984" t="s">
        <v>296</v>
      </c>
      <c r="H4984" t="s">
        <v>296</v>
      </c>
      <c r="I4984"/>
    </row>
    <row r="4985" spans="1:9">
      <c r="A4985" t="s">
        <v>4565</v>
      </c>
      <c r="B4985" s="1" t="str">
        <f>"20172541"</f>
        <v>20172541</v>
      </c>
      <c r="C4985" t="s">
        <v>4566</v>
      </c>
      <c r="D4985" t="s">
        <v>4567</v>
      </c>
      <c r="E4985" s="2"/>
      <c r="F4985"/>
      <c r="G4985" t="s">
        <v>177</v>
      </c>
      <c r="H4985" t="s">
        <v>177</v>
      </c>
      <c r="I4985"/>
    </row>
    <row r="4986" spans="1:9">
      <c r="A4986" t="s">
        <v>4565</v>
      </c>
      <c r="B4986" s="1" t="str">
        <f>"20172540"</f>
        <v>20172540</v>
      </c>
      <c r="C4986" t="s">
        <v>4566</v>
      </c>
      <c r="D4986" t="s">
        <v>4568</v>
      </c>
      <c r="E4986" s="2"/>
      <c r="F4986"/>
      <c r="G4986" t="s">
        <v>82</v>
      </c>
      <c r="H4986" t="s">
        <v>82</v>
      </c>
      <c r="I4986"/>
    </row>
    <row r="4987" spans="1:9">
      <c r="A4987" t="s">
        <v>4565</v>
      </c>
      <c r="B4987" s="1" t="str">
        <f>"20172542"</f>
        <v>20172542</v>
      </c>
      <c r="C4987" t="s">
        <v>4566</v>
      </c>
      <c r="D4987" t="s">
        <v>4569</v>
      </c>
      <c r="E4987" s="2"/>
      <c r="F4987"/>
      <c r="G4987" t="s">
        <v>82</v>
      </c>
      <c r="H4987" t="s">
        <v>82</v>
      </c>
      <c r="I4987"/>
    </row>
    <row r="4988" spans="1:9">
      <c r="A4988" t="s">
        <v>4565</v>
      </c>
      <c r="B4988" s="1" t="str">
        <f>"20172544"</f>
        <v>20172544</v>
      </c>
      <c r="C4988" t="s">
        <v>4566</v>
      </c>
      <c r="D4988" t="s">
        <v>4570</v>
      </c>
      <c r="E4988" s="2"/>
      <c r="F4988"/>
      <c r="G4988" t="s">
        <v>177</v>
      </c>
      <c r="H4988" t="s">
        <v>177</v>
      </c>
      <c r="I4988"/>
    </row>
    <row r="4989" spans="1:9">
      <c r="A4989" t="s">
        <v>4565</v>
      </c>
      <c r="B4989" s="1" t="str">
        <f>"20172543"</f>
        <v>20172543</v>
      </c>
      <c r="C4989" t="s">
        <v>4566</v>
      </c>
      <c r="D4989" t="s">
        <v>4571</v>
      </c>
      <c r="E4989" s="2"/>
      <c r="F4989"/>
      <c r="G4989" t="s">
        <v>82</v>
      </c>
      <c r="H4989" t="s">
        <v>82</v>
      </c>
      <c r="I4989"/>
    </row>
    <row r="4990" spans="1:9">
      <c r="A4990" t="s">
        <v>4565</v>
      </c>
      <c r="B4990" s="1" t="str">
        <f>"20172545"</f>
        <v>20172545</v>
      </c>
      <c r="C4990" t="s">
        <v>4566</v>
      </c>
      <c r="D4990" t="s">
        <v>4572</v>
      </c>
      <c r="E4990" s="2"/>
      <c r="F4990"/>
      <c r="G4990" t="s">
        <v>82</v>
      </c>
      <c r="H4990" t="s">
        <v>82</v>
      </c>
      <c r="I4990"/>
    </row>
    <row r="4991" spans="1:9">
      <c r="A4991" t="s">
        <v>2745</v>
      </c>
      <c r="B4991" s="1" t="str">
        <f>"12007342"</f>
        <v>12007342</v>
      </c>
      <c r="C4991" t="s">
        <v>2749</v>
      </c>
      <c r="D4991" t="s">
        <v>2750</v>
      </c>
      <c r="E4991" s="2"/>
      <c r="F4991" t="s">
        <v>12</v>
      </c>
      <c r="G4991" t="s">
        <v>25</v>
      </c>
      <c r="H4991" t="s">
        <v>332</v>
      </c>
      <c r="I4991"/>
    </row>
    <row r="4992" spans="1:9">
      <c r="A4992" t="s">
        <v>2745</v>
      </c>
      <c r="B4992" s="1" t="str">
        <f>"12007346"</f>
        <v>12007346</v>
      </c>
      <c r="C4992" t="s">
        <v>2749</v>
      </c>
      <c r="D4992" t="s">
        <v>2760</v>
      </c>
      <c r="E4992" s="2"/>
      <c r="F4992" t="s">
        <v>12</v>
      </c>
      <c r="G4992" t="s">
        <v>25</v>
      </c>
      <c r="H4992" t="s">
        <v>332</v>
      </c>
      <c r="I4992"/>
    </row>
    <row r="4993" spans="1:9">
      <c r="A4993" t="s">
        <v>2745</v>
      </c>
      <c r="B4993" s="1" t="str">
        <f>"12007349"</f>
        <v>12007349</v>
      </c>
      <c r="C4993" t="s">
        <v>2749</v>
      </c>
      <c r="D4993" t="s">
        <v>2771</v>
      </c>
      <c r="E4993" s="2"/>
      <c r="F4993" t="s">
        <v>12</v>
      </c>
      <c r="G4993" t="s">
        <v>25</v>
      </c>
      <c r="H4993" t="s">
        <v>332</v>
      </c>
      <c r="I4993"/>
    </row>
    <row r="4994" spans="1:9">
      <c r="A4994" t="s">
        <v>5069</v>
      </c>
      <c r="B4994" s="1" t="str">
        <f>"TBSG005"</f>
        <v>TBSG005</v>
      </c>
      <c r="C4994"/>
      <c r="D4994" t="s">
        <v>5070</v>
      </c>
      <c r="E4994" s="2"/>
      <c r="F4994"/>
      <c r="G4994"/>
      <c r="H4994" t="s">
        <v>2997</v>
      </c>
      <c r="I4994"/>
    </row>
    <row r="4995" spans="1:9">
      <c r="A4995" t="s">
        <v>5071</v>
      </c>
      <c r="B4995" s="1" t="str">
        <f>"INFO004"</f>
        <v>INFO004</v>
      </c>
      <c r="C4995"/>
      <c r="D4995" t="s">
        <v>5072</v>
      </c>
      <c r="E4995" s="2"/>
      <c r="F4995"/>
      <c r="G4995"/>
      <c r="H4995" t="s">
        <v>2997</v>
      </c>
      <c r="I4995"/>
    </row>
    <row r="4996" spans="1:9">
      <c r="A4996" t="s">
        <v>5069</v>
      </c>
      <c r="B4996" s="1" t="str">
        <f>"TBSG005"</f>
        <v>TBSG005</v>
      </c>
      <c r="C4996"/>
      <c r="D4996" t="s">
        <v>5070</v>
      </c>
      <c r="E4996" s="2"/>
      <c r="F4996"/>
      <c r="G4996"/>
      <c r="H4996" t="s">
        <v>2997</v>
      </c>
      <c r="I4996"/>
    </row>
    <row r="4997" spans="1:9">
      <c r="A4997" t="s">
        <v>4509</v>
      </c>
      <c r="B4997" s="1" t="str">
        <f>"17309917"</f>
        <v>17309917</v>
      </c>
      <c r="C4997"/>
      <c r="D4997" t="s">
        <v>5073</v>
      </c>
      <c r="E4997" s="2"/>
      <c r="F4997" t="s">
        <v>2997</v>
      </c>
      <c r="G4997"/>
      <c r="H4997" t="s">
        <v>2997</v>
      </c>
      <c r="I4997"/>
    </row>
    <row r="4998" spans="1:9">
      <c r="A4998" t="s">
        <v>4509</v>
      </c>
      <c r="B4998" s="1" t="str">
        <f>"12031416"</f>
        <v>12031416</v>
      </c>
      <c r="C4998" t="s">
        <v>4495</v>
      </c>
      <c r="D4998" t="s">
        <v>4496</v>
      </c>
      <c r="E4998" s="2"/>
      <c r="F4998"/>
      <c r="G4998" t="s">
        <v>4000</v>
      </c>
      <c r="H4998" t="s">
        <v>2539</v>
      </c>
      <c r="I4998"/>
    </row>
    <row r="4999" spans="1:9">
      <c r="A4999" t="s">
        <v>4509</v>
      </c>
      <c r="B4999" s="1" t="str">
        <f>"12161555"</f>
        <v>12161555</v>
      </c>
      <c r="C4999" t="s">
        <v>4495</v>
      </c>
      <c r="D4999" t="s">
        <v>4497</v>
      </c>
      <c r="E4999" s="2"/>
      <c r="F4999"/>
      <c r="G4999" t="s">
        <v>4000</v>
      </c>
      <c r="H4999" t="s">
        <v>2539</v>
      </c>
      <c r="I4999"/>
    </row>
    <row r="5000" spans="1:9">
      <c r="A5000" t="s">
        <v>4509</v>
      </c>
      <c r="B5000" s="1" t="str">
        <f>"12702879"</f>
        <v>12702879</v>
      </c>
      <c r="C5000" t="s">
        <v>4495</v>
      </c>
      <c r="D5000" t="s">
        <v>4498</v>
      </c>
      <c r="E5000" s="2"/>
      <c r="F5000"/>
      <c r="G5000" t="s">
        <v>4000</v>
      </c>
      <c r="H5000" t="s">
        <v>2539</v>
      </c>
      <c r="I5000"/>
    </row>
    <row r="5001" spans="1:9">
      <c r="A5001" t="s">
        <v>4509</v>
      </c>
      <c r="B5001" s="1" t="str">
        <f>"12832603"</f>
        <v>12832603</v>
      </c>
      <c r="C5001" t="s">
        <v>4495</v>
      </c>
      <c r="D5001" t="s">
        <v>4499</v>
      </c>
      <c r="E5001" s="2"/>
      <c r="F5001"/>
      <c r="G5001" t="s">
        <v>4500</v>
      </c>
      <c r="H5001" t="s">
        <v>2539</v>
      </c>
      <c r="I5001"/>
    </row>
    <row r="5002" spans="1:9">
      <c r="A5002" t="s">
        <v>4509</v>
      </c>
      <c r="B5002" s="1" t="str">
        <f>"12379000"</f>
        <v>12379000</v>
      </c>
      <c r="C5002" t="s">
        <v>4495</v>
      </c>
      <c r="D5002" t="s">
        <v>4501</v>
      </c>
      <c r="E5002" s="2"/>
      <c r="F5002"/>
      <c r="G5002" t="s">
        <v>4500</v>
      </c>
      <c r="H5002" t="s">
        <v>2539</v>
      </c>
      <c r="I5002"/>
    </row>
    <row r="5003" spans="1:9">
      <c r="A5003" t="s">
        <v>4509</v>
      </c>
      <c r="B5003" s="1" t="str">
        <f>"12161552"</f>
        <v>12161552</v>
      </c>
      <c r="C5003" t="s">
        <v>4495</v>
      </c>
      <c r="D5003" t="s">
        <v>4502</v>
      </c>
      <c r="E5003" s="2"/>
      <c r="F5003"/>
      <c r="G5003" t="s">
        <v>4068</v>
      </c>
      <c r="H5003" t="s">
        <v>2539</v>
      </c>
      <c r="I5003"/>
    </row>
    <row r="5004" spans="1:9">
      <c r="A5004" t="s">
        <v>4509</v>
      </c>
      <c r="B5004" s="1" t="str">
        <f>"12031100"</f>
        <v>12031100</v>
      </c>
      <c r="C5004" t="s">
        <v>4495</v>
      </c>
      <c r="D5004" t="s">
        <v>4503</v>
      </c>
      <c r="E5004" s="2"/>
      <c r="F5004"/>
      <c r="G5004" t="s">
        <v>4000</v>
      </c>
      <c r="H5004" t="s">
        <v>2539</v>
      </c>
      <c r="I5004"/>
    </row>
    <row r="5005" spans="1:9">
      <c r="A5005" t="s">
        <v>4509</v>
      </c>
      <c r="B5005" s="1" t="str">
        <f>"11010285"</f>
        <v>11010285</v>
      </c>
      <c r="C5005" t="s">
        <v>2912</v>
      </c>
      <c r="D5005" t="s">
        <v>3149</v>
      </c>
      <c r="E5005" s="2">
        <v>0.42</v>
      </c>
      <c r="F5005" t="s">
        <v>24</v>
      </c>
      <c r="G5005"/>
      <c r="H5005" t="s">
        <v>332</v>
      </c>
      <c r="I5005"/>
    </row>
    <row r="5006" spans="1:9">
      <c r="A5006" t="s">
        <v>4509</v>
      </c>
      <c r="B5006" s="1" t="str">
        <f>"11010284"</f>
        <v>11010284</v>
      </c>
      <c r="C5006" t="s">
        <v>2912</v>
      </c>
      <c r="D5006" t="s">
        <v>3150</v>
      </c>
      <c r="E5006" s="2">
        <v>0.42</v>
      </c>
      <c r="F5006" t="s">
        <v>24</v>
      </c>
      <c r="G5006"/>
      <c r="H5006" t="s">
        <v>332</v>
      </c>
      <c r="I5006"/>
    </row>
    <row r="5007" spans="1:9">
      <c r="A5007" t="s">
        <v>4509</v>
      </c>
      <c r="B5007" s="1" t="str">
        <f>"12013826"</f>
        <v>12013826</v>
      </c>
      <c r="C5007" t="s">
        <v>4460</v>
      </c>
      <c r="D5007" t="s">
        <v>4510</v>
      </c>
      <c r="E5007" s="2"/>
      <c r="F5007"/>
      <c r="G5007" t="s">
        <v>82</v>
      </c>
      <c r="H5007" t="s">
        <v>218</v>
      </c>
      <c r="I5007"/>
    </row>
    <row r="5008" spans="1:9">
      <c r="A5008" t="s">
        <v>4509</v>
      </c>
      <c r="B5008" s="1" t="str">
        <f>"12035315"</f>
        <v>12035315</v>
      </c>
      <c r="C5008" t="s">
        <v>4460</v>
      </c>
      <c r="D5008" t="s">
        <v>4770</v>
      </c>
      <c r="E5008" s="2"/>
      <c r="F5008"/>
      <c r="G5008" t="s">
        <v>82</v>
      </c>
      <c r="H5008" t="s">
        <v>218</v>
      </c>
      <c r="I5008"/>
    </row>
    <row r="5009" spans="1:9">
      <c r="A5009" t="s">
        <v>4509</v>
      </c>
      <c r="B5009" s="1" t="str">
        <f>"12019572"</f>
        <v>12019572</v>
      </c>
      <c r="C5009" t="s">
        <v>4460</v>
      </c>
      <c r="D5009" t="s">
        <v>4774</v>
      </c>
      <c r="E5009" s="2"/>
      <c r="F5009"/>
      <c r="G5009" t="s">
        <v>449</v>
      </c>
      <c r="H5009" t="s">
        <v>4775</v>
      </c>
      <c r="I5009"/>
    </row>
    <row r="5010" spans="1:9">
      <c r="A5010" t="s">
        <v>4509</v>
      </c>
      <c r="B5010" s="1" t="str">
        <f>"12019007"</f>
        <v>12019007</v>
      </c>
      <c r="C5010" t="s">
        <v>4460</v>
      </c>
      <c r="D5010" t="s">
        <v>4512</v>
      </c>
      <c r="E5010" s="2"/>
      <c r="F5010"/>
      <c r="G5010" t="s">
        <v>82</v>
      </c>
      <c r="H5010" t="s">
        <v>218</v>
      </c>
      <c r="I5010"/>
    </row>
    <row r="5011" spans="1:9">
      <c r="A5011" t="s">
        <v>4509</v>
      </c>
      <c r="B5011" s="1" t="str">
        <f>"12017804"</f>
        <v>12017804</v>
      </c>
      <c r="C5011" t="s">
        <v>4460</v>
      </c>
      <c r="D5011" t="s">
        <v>5074</v>
      </c>
      <c r="E5011" s="2"/>
      <c r="F5011"/>
      <c r="G5011" t="s">
        <v>80</v>
      </c>
      <c r="H5011" t="s">
        <v>218</v>
      </c>
      <c r="I5011"/>
    </row>
    <row r="5012" spans="1:9">
      <c r="A5012" t="s">
        <v>4509</v>
      </c>
      <c r="B5012" s="1" t="str">
        <f>"12017808"</f>
        <v>12017808</v>
      </c>
      <c r="C5012" t="s">
        <v>4460</v>
      </c>
      <c r="D5012" t="s">
        <v>4514</v>
      </c>
      <c r="E5012" s="2"/>
      <c r="F5012"/>
      <c r="G5012" t="s">
        <v>80</v>
      </c>
      <c r="H5012" t="s">
        <v>218</v>
      </c>
      <c r="I5012"/>
    </row>
    <row r="5013" spans="1:9">
      <c r="A5013" t="s">
        <v>4509</v>
      </c>
      <c r="B5013" s="1" t="str">
        <f>"12014114"</f>
        <v>12014114</v>
      </c>
      <c r="C5013" t="s">
        <v>4460</v>
      </c>
      <c r="D5013" t="s">
        <v>4467</v>
      </c>
      <c r="E5013" s="2"/>
      <c r="F5013"/>
      <c r="G5013" t="s">
        <v>4068</v>
      </c>
      <c r="H5013" t="s">
        <v>2539</v>
      </c>
      <c r="I5013"/>
    </row>
    <row r="5014" spans="1:9">
      <c r="A5014" t="s">
        <v>4509</v>
      </c>
      <c r="B5014" s="1" t="str">
        <f>"12012744"</f>
        <v>12012744</v>
      </c>
      <c r="C5014" t="s">
        <v>4460</v>
      </c>
      <c r="D5014" t="s">
        <v>4470</v>
      </c>
      <c r="E5014" s="2"/>
      <c r="F5014"/>
      <c r="G5014" t="s">
        <v>177</v>
      </c>
      <c r="H5014" t="s">
        <v>218</v>
      </c>
      <c r="I5014"/>
    </row>
    <row r="5015" spans="1:9">
      <c r="A5015" t="s">
        <v>4509</v>
      </c>
      <c r="B5015" s="1" t="str">
        <f>"12012747"</f>
        <v>12012747</v>
      </c>
      <c r="C5015" t="s">
        <v>4460</v>
      </c>
      <c r="D5015" t="s">
        <v>4471</v>
      </c>
      <c r="E5015" s="2"/>
      <c r="F5015"/>
      <c r="G5015" t="s">
        <v>177</v>
      </c>
      <c r="H5015" t="s">
        <v>218</v>
      </c>
      <c r="I5015"/>
    </row>
    <row r="5016" spans="1:9">
      <c r="A5016" t="s">
        <v>4509</v>
      </c>
      <c r="B5016" s="1" t="str">
        <f>"12014165"</f>
        <v>12014165</v>
      </c>
      <c r="C5016" t="s">
        <v>4460</v>
      </c>
      <c r="D5016" t="s">
        <v>4782</v>
      </c>
      <c r="E5016" s="2"/>
      <c r="F5016"/>
      <c r="G5016" t="s">
        <v>4783</v>
      </c>
      <c r="H5016" t="s">
        <v>4775</v>
      </c>
      <c r="I5016"/>
    </row>
    <row r="5017" spans="1:9">
      <c r="A5017" t="s">
        <v>4509</v>
      </c>
      <c r="B5017" s="1" t="str">
        <f>"12012809"</f>
        <v>12012809</v>
      </c>
      <c r="C5017" t="s">
        <v>4460</v>
      </c>
      <c r="D5017" t="s">
        <v>4474</v>
      </c>
      <c r="E5017" s="2"/>
      <c r="F5017"/>
      <c r="G5017" t="s">
        <v>19</v>
      </c>
      <c r="H5017" t="s">
        <v>218</v>
      </c>
      <c r="I5017"/>
    </row>
    <row r="5018" spans="1:9">
      <c r="A5018" t="s">
        <v>4509</v>
      </c>
      <c r="B5018" s="1" t="str">
        <f>"12061616"</f>
        <v>12061616</v>
      </c>
      <c r="C5018" t="s">
        <v>4460</v>
      </c>
      <c r="D5018" t="s">
        <v>4527</v>
      </c>
      <c r="E5018" s="2"/>
      <c r="F5018" t="s">
        <v>4528</v>
      </c>
      <c r="G5018" t="s">
        <v>82</v>
      </c>
      <c r="H5018" t="s">
        <v>218</v>
      </c>
      <c r="I5018"/>
    </row>
    <row r="5019" spans="1:9">
      <c r="A5019" t="s">
        <v>4509</v>
      </c>
      <c r="B5019" s="1" t="str">
        <f>"12013791"</f>
        <v>12013791</v>
      </c>
      <c r="C5019" t="s">
        <v>4460</v>
      </c>
      <c r="D5019" t="s">
        <v>4530</v>
      </c>
      <c r="E5019" s="2"/>
      <c r="F5019"/>
      <c r="G5019" t="s">
        <v>287</v>
      </c>
      <c r="H5019" t="s">
        <v>218</v>
      </c>
      <c r="I5019"/>
    </row>
    <row r="5020" spans="1:9">
      <c r="A5020" t="s">
        <v>4509</v>
      </c>
      <c r="B5020" s="1" t="str">
        <f>"12161173"</f>
        <v>12161173</v>
      </c>
      <c r="C5020" t="s">
        <v>4460</v>
      </c>
      <c r="D5020" t="s">
        <v>4477</v>
      </c>
      <c r="E5020" s="2"/>
      <c r="F5020"/>
      <c r="G5020" t="s">
        <v>795</v>
      </c>
      <c r="H5020" t="s">
        <v>218</v>
      </c>
      <c r="I5020"/>
    </row>
    <row r="5021" spans="1:9">
      <c r="A5021" t="s">
        <v>4509</v>
      </c>
      <c r="B5021" s="1" t="str">
        <f>"12016160"</f>
        <v>12016160</v>
      </c>
      <c r="C5021" t="s">
        <v>4460</v>
      </c>
      <c r="D5021" t="s">
        <v>4478</v>
      </c>
      <c r="E5021" s="2"/>
      <c r="F5021"/>
      <c r="G5021" t="s">
        <v>232</v>
      </c>
      <c r="H5021" t="s">
        <v>218</v>
      </c>
      <c r="I5021"/>
    </row>
    <row r="5022" spans="1:9">
      <c r="A5022" t="s">
        <v>4509</v>
      </c>
      <c r="B5022" s="1" t="str">
        <f>"12019004"</f>
        <v>12019004</v>
      </c>
      <c r="C5022" t="s">
        <v>4460</v>
      </c>
      <c r="D5022" t="s">
        <v>4480</v>
      </c>
      <c r="E5022" s="2"/>
      <c r="F5022"/>
      <c r="G5022" t="s">
        <v>177</v>
      </c>
      <c r="H5022" t="s">
        <v>218</v>
      </c>
      <c r="I5022"/>
    </row>
    <row r="5023" spans="1:9">
      <c r="A5023" t="s">
        <v>4509</v>
      </c>
      <c r="B5023" s="1" t="str">
        <f>"11011429"</f>
        <v>11011429</v>
      </c>
      <c r="C5023" t="s">
        <v>2963</v>
      </c>
      <c r="D5023" t="s">
        <v>3004</v>
      </c>
      <c r="E5023" s="2">
        <v>0.43</v>
      </c>
      <c r="F5023" t="s">
        <v>2737</v>
      </c>
      <c r="G5023" t="s">
        <v>360</v>
      </c>
      <c r="H5023" t="s">
        <v>240</v>
      </c>
      <c r="I502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2026-05-26T23:30:18+00:00</dcterms:created>
  <dcterms:modified xsi:type="dcterms:W3CDTF">2026-05-26T23:30:18+00:00</dcterms:modified>
  <dc:title>Untitled Spreadsheet</dc:title>
  <dc:description/>
  <dc:subject/>
  <cp:keywords/>
  <cp:category/>
</cp:coreProperties>
</file>